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98" yWindow="-98" windowWidth="19395" windowHeight="10395"/>
  </bookViews>
  <sheets>
    <sheet name="Figures for Investing Partner" sheetId="4" r:id="rId1"/>
    <sheet name="Figures for Investor" sheetId="6" r:id="rId2"/>
    <sheet name="Op. Budge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7" i="6"/>
  <c r="J68" i="4"/>
  <c r="J71"/>
  <c r="H29" i="6"/>
  <c r="H32" i="4"/>
  <c r="H29"/>
  <c r="F35"/>
  <c r="F34"/>
  <c r="K35" i="6"/>
  <c r="K34"/>
  <c r="J35"/>
  <c r="J34"/>
  <c r="H34"/>
  <c r="F35"/>
  <c r="F34"/>
  <c r="J35" i="4"/>
  <c r="J34"/>
  <c r="K43" i="6"/>
  <c r="K43" i="4"/>
  <c r="K42"/>
  <c r="G36"/>
  <c r="G36" i="6"/>
  <c r="J70"/>
  <c r="H32" l="1"/>
  <c r="H31"/>
  <c r="F32" i="4"/>
  <c r="H31"/>
  <c r="I31" s="1"/>
  <c r="J50" i="6"/>
  <c r="J45"/>
  <c r="K42"/>
  <c r="I38"/>
  <c r="J38" s="1"/>
  <c r="I37"/>
  <c r="J37" s="1"/>
  <c r="F29"/>
  <c r="H28"/>
  <c r="I28" s="1"/>
  <c r="F26"/>
  <c r="H25"/>
  <c r="F23"/>
  <c r="H23" s="1"/>
  <c r="I23" s="1"/>
  <c r="K23" s="1"/>
  <c r="H22"/>
  <c r="F20"/>
  <c r="H20" s="1"/>
  <c r="H19"/>
  <c r="F17"/>
  <c r="H17" s="1"/>
  <c r="H16"/>
  <c r="I16" s="1"/>
  <c r="K15"/>
  <c r="J15"/>
  <c r="F14"/>
  <c r="H14" s="1"/>
  <c r="K13"/>
  <c r="H13"/>
  <c r="J13" s="1"/>
  <c r="K12"/>
  <c r="J12"/>
  <c r="F11"/>
  <c r="H11" s="1"/>
  <c r="K10"/>
  <c r="H10"/>
  <c r="J10" s="1"/>
  <c r="K9"/>
  <c r="J9"/>
  <c r="F8"/>
  <c r="H8" s="1"/>
  <c r="I8" s="1"/>
  <c r="K8" s="1"/>
  <c r="K7"/>
  <c r="H7"/>
  <c r="J7" s="1"/>
  <c r="K6"/>
  <c r="F5"/>
  <c r="H5" s="1"/>
  <c r="K4"/>
  <c r="H4"/>
  <c r="J4" s="1"/>
  <c r="H28" i="4"/>
  <c r="H13"/>
  <c r="H10"/>
  <c r="H4"/>
  <c r="H7"/>
  <c r="K4"/>
  <c r="K6"/>
  <c r="K7"/>
  <c r="K9"/>
  <c r="K10"/>
  <c r="K12"/>
  <c r="K13"/>
  <c r="K15"/>
  <c r="I38"/>
  <c r="J38" s="1"/>
  <c r="F14"/>
  <c r="H14" s="1"/>
  <c r="F8"/>
  <c r="H8" s="1"/>
  <c r="F11"/>
  <c r="H11" s="1"/>
  <c r="F5"/>
  <c r="H5" s="1"/>
  <c r="I5" s="1"/>
  <c r="K5" s="1"/>
  <c r="J15"/>
  <c r="J13"/>
  <c r="J9"/>
  <c r="J12"/>
  <c r="I37"/>
  <c r="J37" s="1"/>
  <c r="J39" s="1"/>
  <c r="H19"/>
  <c r="I19" s="1"/>
  <c r="K19" s="1"/>
  <c r="J70"/>
  <c r="H16"/>
  <c r="H33" l="1"/>
  <c r="H18" i="6"/>
  <c r="H30"/>
  <c r="J8"/>
  <c r="L9" s="1"/>
  <c r="H33"/>
  <c r="I31"/>
  <c r="I32"/>
  <c r="K32" s="1"/>
  <c r="I32" i="4"/>
  <c r="I33" s="1"/>
  <c r="K16" i="6"/>
  <c r="J23"/>
  <c r="K28"/>
  <c r="J28"/>
  <c r="I11"/>
  <c r="K11" s="1"/>
  <c r="L39"/>
  <c r="J39"/>
  <c r="J40" s="1"/>
  <c r="I5"/>
  <c r="K5" s="1"/>
  <c r="J16"/>
  <c r="H21"/>
  <c r="I19"/>
  <c r="L50"/>
  <c r="I17"/>
  <c r="K17" s="1"/>
  <c r="I14"/>
  <c r="K14" s="1"/>
  <c r="I20"/>
  <c r="K20" s="1"/>
  <c r="I29"/>
  <c r="K29" s="1"/>
  <c r="J55" s="1"/>
  <c r="I22"/>
  <c r="J22" s="1"/>
  <c r="H24"/>
  <c r="I25"/>
  <c r="H26"/>
  <c r="H35" s="1"/>
  <c r="I14" i="4"/>
  <c r="I11"/>
  <c r="J5"/>
  <c r="L39"/>
  <c r="I16"/>
  <c r="K16" s="1"/>
  <c r="I8"/>
  <c r="F29"/>
  <c r="F26"/>
  <c r="H26" s="1"/>
  <c r="F23"/>
  <c r="H23" s="1"/>
  <c r="F20"/>
  <c r="H20" s="1"/>
  <c r="F17"/>
  <c r="H17" s="1"/>
  <c r="H25"/>
  <c r="H22"/>
  <c r="J32" i="6" l="1"/>
  <c r="J8" i="4"/>
  <c r="K8"/>
  <c r="J11"/>
  <c r="K11"/>
  <c r="J14"/>
  <c r="L15" s="1"/>
  <c r="K14"/>
  <c r="H34"/>
  <c r="H35"/>
  <c r="I30" i="6"/>
  <c r="K30" s="1"/>
  <c r="J29"/>
  <c r="J41" s="1"/>
  <c r="J44" s="1"/>
  <c r="J46" s="1"/>
  <c r="J11"/>
  <c r="L12" s="1"/>
  <c r="K31"/>
  <c r="I33"/>
  <c r="K33" s="1"/>
  <c r="J33"/>
  <c r="J31"/>
  <c r="J14"/>
  <c r="L15" s="1"/>
  <c r="I26"/>
  <c r="K26" s="1"/>
  <c r="H27"/>
  <c r="K19"/>
  <c r="I21"/>
  <c r="K21" s="1"/>
  <c r="I24"/>
  <c r="K24" s="1"/>
  <c r="K22"/>
  <c r="K25"/>
  <c r="J25"/>
  <c r="J20"/>
  <c r="J17"/>
  <c r="J19"/>
  <c r="J5"/>
  <c r="L6" s="1"/>
  <c r="I18"/>
  <c r="H18" i="4"/>
  <c r="J10"/>
  <c r="J4"/>
  <c r="L6" s="1"/>
  <c r="I28"/>
  <c r="K28" s="1"/>
  <c r="K31"/>
  <c r="I25"/>
  <c r="K25" s="1"/>
  <c r="I22"/>
  <c r="K22" s="1"/>
  <c r="I23"/>
  <c r="K23" s="1"/>
  <c r="J7"/>
  <c r="I26"/>
  <c r="K26" s="1"/>
  <c r="H30"/>
  <c r="B56" i="5"/>
  <c r="B58" s="1"/>
  <c r="B47"/>
  <c r="B49" s="1"/>
  <c r="B35"/>
  <c r="B22"/>
  <c r="B23" s="1"/>
  <c r="B10"/>
  <c r="L9" i="4" l="1"/>
  <c r="K34"/>
  <c r="J30" i="6"/>
  <c r="L30" s="1"/>
  <c r="L64" s="1"/>
  <c r="L12" i="4"/>
  <c r="J24" i="6"/>
  <c r="J51"/>
  <c r="M64"/>
  <c r="K18"/>
  <c r="J18"/>
  <c r="I27"/>
  <c r="K27" s="1"/>
  <c r="J21"/>
  <c r="J26"/>
  <c r="J54"/>
  <c r="J27"/>
  <c r="I17" i="4"/>
  <c r="K17" s="1"/>
  <c r="I29"/>
  <c r="J28"/>
  <c r="I24"/>
  <c r="K24" s="1"/>
  <c r="J31"/>
  <c r="H27"/>
  <c r="I27"/>
  <c r="K27" s="1"/>
  <c r="H24"/>
  <c r="I20"/>
  <c r="H21"/>
  <c r="B59" i="5"/>
  <c r="B60" s="1"/>
  <c r="B61" s="1"/>
  <c r="J53" i="6" l="1"/>
  <c r="J36"/>
  <c r="J52" s="1"/>
  <c r="I30" i="4"/>
  <c r="K29"/>
  <c r="J55" s="1"/>
  <c r="J32"/>
  <c r="K32"/>
  <c r="I21"/>
  <c r="K21" s="1"/>
  <c r="K20"/>
  <c r="K35" s="1"/>
  <c r="I18"/>
  <c r="J24"/>
  <c r="J29"/>
  <c r="J21"/>
  <c r="J27"/>
  <c r="J45"/>
  <c r="J41" l="1"/>
  <c r="J44" s="1"/>
  <c r="J46" s="1"/>
  <c r="J56" i="6"/>
  <c r="J57" s="1"/>
  <c r="J59" s="1"/>
  <c r="J54" i="4"/>
  <c r="J30"/>
  <c r="L30" s="1"/>
  <c r="K30"/>
  <c r="J33"/>
  <c r="L33" s="1"/>
  <c r="K33"/>
  <c r="J18"/>
  <c r="K18"/>
  <c r="J50"/>
  <c r="L65" l="1"/>
  <c r="G67" i="6"/>
  <c r="H67" s="1"/>
  <c r="J61"/>
  <c r="L50" i="4"/>
  <c r="J71" i="6" l="1"/>
  <c r="G71" s="1"/>
  <c r="H71" s="1"/>
  <c r="J40" i="4"/>
  <c r="M65" l="1"/>
  <c r="J17"/>
  <c r="J16"/>
  <c r="J19"/>
  <c r="J20"/>
  <c r="J23"/>
  <c r="J22"/>
  <c r="J25"/>
  <c r="J26"/>
  <c r="J53" l="1"/>
  <c r="J51"/>
  <c r="J36" l="1"/>
  <c r="J52" s="1"/>
  <c r="J56" s="1"/>
  <c r="J57" s="1"/>
  <c r="J59" s="1"/>
  <c r="J61" l="1"/>
  <c r="J73" l="1"/>
  <c r="G73" s="1"/>
  <c r="H73" s="1"/>
  <c r="G68"/>
  <c r="H68" s="1"/>
</calcChain>
</file>

<file path=xl/sharedStrings.xml><?xml version="1.0" encoding="utf-8"?>
<sst xmlns="http://schemas.openxmlformats.org/spreadsheetml/2006/main" count="259" uniqueCount="114">
  <si>
    <t>Unit Price</t>
  </si>
  <si>
    <t>SUB-CLUBS:</t>
  </si>
  <si>
    <t>Total</t>
  </si>
  <si>
    <r>
      <t>SQM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</t>
    </r>
  </si>
  <si>
    <t>Financing cost, legal etc.</t>
  </si>
  <si>
    <t>AVIATION CLUB</t>
  </si>
  <si>
    <t>Total Sub-Clubs</t>
  </si>
  <si>
    <t>TOTAL NET SALE</t>
  </si>
  <si>
    <t>TOTAL NET PROFIT before TAXES</t>
  </si>
  <si>
    <t>TOTAL INVESTOR'S BENEFIT</t>
  </si>
  <si>
    <t>Units</t>
  </si>
  <si>
    <t xml:space="preserve">COST SALES &amp; PROJECT CONTROLLING, LAUNCH &amp; EVENT MANAGEMENT </t>
  </si>
  <si>
    <t>Description</t>
  </si>
  <si>
    <t xml:space="preserve">GROSS PROFIT (STANDARD SALE) </t>
  </si>
  <si>
    <t>Refurbishment of existing houses/stables, plantings</t>
  </si>
  <si>
    <t>NOT FOR SALE</t>
  </si>
  <si>
    <t xml:space="preserve">INVESTOR'S BENEFITS: </t>
  </si>
  <si>
    <t>Margin</t>
  </si>
  <si>
    <t>Margin/year</t>
  </si>
  <si>
    <t>Shareholders Ownership</t>
  </si>
  <si>
    <t>Cash from profit share on villa sales</t>
  </si>
  <si>
    <t>Aristocratic &amp; Business Club with luxury Villas for Club members</t>
  </si>
  <si>
    <t xml:space="preserve">Location of the project: </t>
  </si>
  <si>
    <t>INFO</t>
  </si>
  <si>
    <t xml:space="preserve">Yearly fixed cost </t>
  </si>
  <si>
    <t>Villas maintenance 1%</t>
  </si>
  <si>
    <t>*Clubs/Sub-Clubs/Farm  2%</t>
  </si>
  <si>
    <t>Tax on Clubs/Farm &amp; Villas  0.07%</t>
  </si>
  <si>
    <t>*Car &amp; Bike Club 25%</t>
  </si>
  <si>
    <t>*Yacht &amp; Boat Club 10%</t>
  </si>
  <si>
    <t xml:space="preserve">*Aviation Club incl. Hangar </t>
  </si>
  <si>
    <t>Total yearly fixed cost</t>
  </si>
  <si>
    <t>Var. cost 1st full oper. Y.</t>
  </si>
  <si>
    <t>budget</t>
  </si>
  <si>
    <t xml:space="preserve">Member package </t>
  </si>
  <si>
    <t xml:space="preserve">Boards/honarary package 5' </t>
  </si>
  <si>
    <t xml:space="preserve">Benhavis. water/el. etc. </t>
  </si>
  <si>
    <t>Diesel/Petrol/Kerosin</t>
  </si>
  <si>
    <t>F&amp;B (€100/day/person)</t>
  </si>
  <si>
    <t>Salaries</t>
  </si>
  <si>
    <t>Insurance 1% of revenue</t>
  </si>
  <si>
    <t>Activities, Events, Marketing</t>
  </si>
  <si>
    <t>Total yearly variable cost</t>
  </si>
  <si>
    <t>Grand total yearly cost</t>
  </si>
  <si>
    <t>Revenue 1st full oper. Y.</t>
  </si>
  <si>
    <t>Membership Villas</t>
  </si>
  <si>
    <t>Ext. Memberships 0.57 m.</t>
  </si>
  <si>
    <t>Hotel &amp; Rest. (Alcohol)  net</t>
  </si>
  <si>
    <t>Total yearly revenue</t>
  </si>
  <si>
    <t>Charity Fund 1% of revenue</t>
  </si>
  <si>
    <t>Yearly gross profit</t>
  </si>
  <si>
    <t>Charity Fund 10% of profit</t>
  </si>
  <si>
    <t>Charity Fund total</t>
  </si>
  <si>
    <t>Var. cost 2nd full oper. Y.</t>
  </si>
  <si>
    <t>Revenue from 2nd year on</t>
  </si>
  <si>
    <t>* = depriciation &amp; maintenance</t>
  </si>
  <si>
    <t>VAT included</t>
  </si>
  <si>
    <t xml:space="preserve">VAT </t>
  </si>
  <si>
    <t>TOTAL REAL ESTATE INVESTMENT incl. VAT</t>
  </si>
  <si>
    <t>Ext. Memberships 0.6 m.</t>
  </si>
  <si>
    <t>St. Marko Island, Tivat Region, Montenegro</t>
  </si>
  <si>
    <t>Plots</t>
  </si>
  <si>
    <t xml:space="preserve">Plots </t>
  </si>
  <si>
    <t xml:space="preserve">Hill Villas on the plots </t>
  </si>
  <si>
    <t>Western Sea Villas on the plots</t>
  </si>
  <si>
    <t>Eastern Sea Villas on the plots</t>
  </si>
  <si>
    <t>TOTAL SALE OF LAND</t>
  </si>
  <si>
    <t>Plot</t>
  </si>
  <si>
    <t>TOTAL SALE OF LAND and VILLAS</t>
  </si>
  <si>
    <t xml:space="preserve">Total Cost of Buildings </t>
  </si>
  <si>
    <t>Total Cost of Land</t>
  </si>
  <si>
    <t>TOTAL INVESTMENT (villas, clubs and sub-clubs)</t>
  </si>
  <si>
    <t>Villas for Investors</t>
  </si>
  <si>
    <t>m2</t>
  </si>
  <si>
    <t>South Sea Villas on the plots</t>
  </si>
  <si>
    <t>Villas benefit</t>
  </si>
  <si>
    <t>Yearly membership for 25 years (€ 700'000/year/8 pers.)</t>
  </si>
  <si>
    <t>Agricultural Organic Farm (external, not on island)</t>
  </si>
  <si>
    <t>Car &amp; Bike Club with e-Garage and Infrastructure</t>
  </si>
  <si>
    <t>Share Value of Remaining Property (25%)</t>
  </si>
  <si>
    <t>VAT on Sales</t>
  </si>
  <si>
    <t>PEAK INVESTMENT FROM THE INVESTOR (for 3.5 years):</t>
  </si>
  <si>
    <t>Business &amp; CLUB Houses 21/100m2 suites, Infrastruct.</t>
  </si>
  <si>
    <t>Beach &amp; Sport Club with 21/100m2 suites, infrastruct.</t>
  </si>
  <si>
    <t>TOTAL incl. VAT</t>
  </si>
  <si>
    <t xml:space="preserve">Villa Price with Land incl. VAT </t>
  </si>
  <si>
    <t xml:space="preserve">TOTAL SALE OF VILLAS </t>
  </si>
  <si>
    <r>
      <t>TOTAL m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charset val="204"/>
        <scheme val="minor"/>
      </rPr>
      <t xml:space="preserve">SALE OF VILLAS </t>
    </r>
  </si>
  <si>
    <t>incl. 3% VAT</t>
  </si>
  <si>
    <t xml:space="preserve">TOTAL COST AGRICULTURAL ORGANIC FARM </t>
  </si>
  <si>
    <t>VAT TOTAL</t>
  </si>
  <si>
    <t>VAT paid on investments (refund)</t>
  </si>
  <si>
    <t>Villas for Project Owners</t>
  </si>
  <si>
    <t>Port/Harbour with e-Garage and Infrastructure</t>
  </si>
  <si>
    <t xml:space="preserve">CAR &amp; BIKE CLUB </t>
  </si>
  <si>
    <t xml:space="preserve">YACHT &amp; BOAT CLUB </t>
  </si>
  <si>
    <t>PROFIT MARGIN VILLA SALES</t>
  </si>
  <si>
    <t>PROFIT SHARING REAL ESTATE SALE: 75% Investor, 25% Project Owners &amp; other Parties</t>
  </si>
  <si>
    <t>SHARES DISTRIBUTION: 25% Investor, 75% Project Owners &amp; other Parties</t>
  </si>
  <si>
    <t>PROFIT SHARING REAL ESTATE SALE: 80% Investor, 20% Project Owners &amp; other Parties</t>
  </si>
  <si>
    <t>Villa Sale for Investors</t>
  </si>
  <si>
    <t>Club House or Beach Club: Superior Suite lease for 25 years</t>
  </si>
  <si>
    <t>Club House and Beach Club: Superior Suites lease for 25 years</t>
  </si>
  <si>
    <t>Yearly external membership for 25 years (€ 500'000/year/8 pers.)</t>
  </si>
  <si>
    <t xml:space="preserve">SALES COMMISSION 5% on 40 luxury Villas </t>
  </si>
  <si>
    <t xml:space="preserve">SALES COMMISSION 5% on 41 luxury Villas </t>
  </si>
  <si>
    <t>Cash from profit share on villa sales and Investors villa sale</t>
  </si>
  <si>
    <t>Infrastructure (roads, sewage, canalisation, electric, water, securty, etc.</t>
  </si>
  <si>
    <t>incl. 21% VAT</t>
  </si>
  <si>
    <t>Total Shareholders Remaining Ownership (50% refinancing possible = 80 m.)</t>
  </si>
  <si>
    <t>After Sales Remaining Property (50% refinancing possible = 76 m.)</t>
  </si>
  <si>
    <t>TOTAL  SALE OF LAND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</si>
  <si>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</si>
  <si>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Cost reserve on Buildings: Bank loan, Insurance, Inflation, etc.</t>
  </si>
</sst>
</file>

<file path=xl/styles.xml><?xml version="1.0" encoding="utf-8"?>
<styleSheet xmlns="http://schemas.openxmlformats.org/spreadsheetml/2006/main">
  <numFmts count="3">
    <numFmt numFmtId="164" formatCode="#,##0\ [$€-1]"/>
    <numFmt numFmtId="165" formatCode="#,##0\ [$€-C0A]"/>
    <numFmt numFmtId="166" formatCode="0.0%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color theme="1"/>
      <name val="Calibri"/>
      <family val="2"/>
      <charset val="204"/>
    </font>
    <font>
      <b/>
      <sz val="14"/>
      <name val="Calibri"/>
      <family val="2"/>
      <scheme val="minor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5" xfId="0" applyBorder="1"/>
    <xf numFmtId="0" fontId="7" fillId="0" borderId="2" xfId="0" applyFont="1" applyBorder="1"/>
    <xf numFmtId="165" fontId="5" fillId="4" borderId="0" xfId="0" applyNumberFormat="1" applyFont="1" applyFill="1"/>
    <xf numFmtId="165" fontId="5" fillId="5" borderId="1" xfId="0" applyNumberFormat="1" applyFont="1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0" xfId="0" applyFill="1" applyBorder="1" applyAlignment="1">
      <alignment horizontal="center"/>
    </xf>
    <xf numFmtId="0" fontId="7" fillId="0" borderId="0" xfId="0" applyFont="1"/>
    <xf numFmtId="165" fontId="7" fillId="5" borderId="1" xfId="0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165" fontId="6" fillId="5" borderId="1" xfId="0" applyNumberFormat="1" applyFont="1" applyFill="1" applyBorder="1"/>
    <xf numFmtId="165" fontId="3" fillId="4" borderId="0" xfId="0" applyNumberFormat="1" applyFont="1" applyFill="1"/>
    <xf numFmtId="165" fontId="3" fillId="2" borderId="11" xfId="0" applyNumberFormat="1" applyFont="1" applyFill="1" applyBorder="1"/>
    <xf numFmtId="0" fontId="0" fillId="0" borderId="12" xfId="0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0" xfId="0" applyNumberFormat="1"/>
    <xf numFmtId="164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5" borderId="10" xfId="0" applyNumberFormat="1" applyFill="1" applyBorder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6" borderId="0" xfId="0" applyFill="1"/>
    <xf numFmtId="9" fontId="8" fillId="6" borderId="0" xfId="0" applyNumberFormat="1" applyFont="1" applyFill="1"/>
    <xf numFmtId="0" fontId="8" fillId="6" borderId="0" xfId="0" applyFont="1" applyFill="1"/>
    <xf numFmtId="165" fontId="0" fillId="6" borderId="0" xfId="0" applyNumberFormat="1" applyFill="1" applyAlignment="1">
      <alignment horizontal="right"/>
    </xf>
    <xf numFmtId="164" fontId="0" fillId="6" borderId="0" xfId="0" applyNumberFormat="1" applyFill="1"/>
    <xf numFmtId="0" fontId="3" fillId="0" borderId="0" xfId="0" applyFont="1"/>
    <xf numFmtId="0" fontId="4" fillId="0" borderId="0" xfId="0" applyFont="1"/>
    <xf numFmtId="0" fontId="9" fillId="0" borderId="0" xfId="0" applyFont="1"/>
    <xf numFmtId="165" fontId="0" fillId="0" borderId="0" xfId="0" applyNumberFormat="1"/>
    <xf numFmtId="165" fontId="6" fillId="4" borderId="0" xfId="0" applyNumberFormat="1" applyFont="1" applyFill="1"/>
    <xf numFmtId="0" fontId="8" fillId="0" borderId="0" xfId="0" applyFont="1"/>
    <xf numFmtId="165" fontId="2" fillId="4" borderId="0" xfId="0" applyNumberFormat="1" applyFont="1" applyFill="1"/>
    <xf numFmtId="165" fontId="3" fillId="3" borderId="13" xfId="0" applyNumberFormat="1" applyFont="1" applyFill="1" applyBorder="1" applyAlignment="1">
      <alignment horizontal="right"/>
    </xf>
    <xf numFmtId="165" fontId="6" fillId="3" borderId="13" xfId="0" applyNumberFormat="1" applyFont="1" applyFill="1" applyBorder="1" applyAlignment="1">
      <alignment horizontal="right"/>
    </xf>
    <xf numFmtId="165" fontId="6" fillId="3" borderId="0" xfId="0" applyNumberFormat="1" applyFont="1" applyFill="1" applyAlignment="1">
      <alignment horizontal="right"/>
    </xf>
    <xf numFmtId="0" fontId="6" fillId="3" borderId="0" xfId="0" applyFont="1" applyFill="1"/>
    <xf numFmtId="165" fontId="0" fillId="6" borderId="0" xfId="0" applyNumberFormat="1" applyFill="1"/>
    <xf numFmtId="0" fontId="12" fillId="6" borderId="0" xfId="0" applyFont="1" applyFill="1"/>
    <xf numFmtId="9" fontId="12" fillId="6" borderId="0" xfId="0" applyNumberFormat="1" applyFont="1" applyFill="1"/>
    <xf numFmtId="165" fontId="12" fillId="6" borderId="0" xfId="0" applyNumberFormat="1" applyFont="1" applyFill="1"/>
    <xf numFmtId="0" fontId="12" fillId="0" borderId="0" xfId="0" applyFont="1"/>
    <xf numFmtId="0" fontId="13" fillId="6" borderId="9" xfId="0" applyFont="1" applyFill="1" applyBorder="1"/>
    <xf numFmtId="0" fontId="13" fillId="6" borderId="10" xfId="0" applyFont="1" applyFill="1" applyBorder="1"/>
    <xf numFmtId="165" fontId="13" fillId="6" borderId="1" xfId="0" applyNumberFormat="1" applyFont="1" applyFill="1" applyBorder="1"/>
    <xf numFmtId="0" fontId="13" fillId="0" borderId="0" xfId="0" applyFont="1"/>
    <xf numFmtId="0" fontId="13" fillId="6" borderId="0" xfId="0" applyFont="1" applyFill="1"/>
    <xf numFmtId="0" fontId="9" fillId="6" borderId="0" xfId="0" applyFont="1" applyFill="1"/>
    <xf numFmtId="0" fontId="14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9" fontId="16" fillId="0" borderId="0" xfId="0" applyNumberFormat="1" applyFont="1" applyAlignment="1">
      <alignment horizontal="right"/>
    </xf>
    <xf numFmtId="0" fontId="15" fillId="0" borderId="0" xfId="0" applyFont="1"/>
    <xf numFmtId="165" fontId="15" fillId="0" borderId="0" xfId="0" applyNumberFormat="1" applyFont="1" applyAlignment="1">
      <alignment horizontal="right"/>
    </xf>
    <xf numFmtId="9" fontId="15" fillId="0" borderId="0" xfId="0" applyNumberFormat="1" applyFont="1" applyAlignment="1">
      <alignment horizontal="right"/>
    </xf>
    <xf numFmtId="165" fontId="15" fillId="0" borderId="0" xfId="0" applyNumberFormat="1" applyFont="1"/>
    <xf numFmtId="165" fontId="16" fillId="0" borderId="0" xfId="0" applyNumberFormat="1" applyFont="1" applyAlignment="1">
      <alignment horizontal="right"/>
    </xf>
    <xf numFmtId="165" fontId="16" fillId="0" borderId="0" xfId="0" applyNumberFormat="1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165" fontId="18" fillId="0" borderId="0" xfId="0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165" fontId="6" fillId="3" borderId="13" xfId="0" applyNumberFormat="1" applyFont="1" applyFill="1" applyBorder="1" applyAlignment="1">
      <alignment horizontal="left"/>
    </xf>
    <xf numFmtId="165" fontId="0" fillId="0" borderId="0" xfId="0" applyNumberFormat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164" fontId="0" fillId="3" borderId="10" xfId="0" applyNumberFormat="1" applyFill="1" applyBorder="1" applyAlignment="1">
      <alignment horizontal="right"/>
    </xf>
    <xf numFmtId="165" fontId="5" fillId="3" borderId="1" xfId="0" applyNumberFormat="1" applyFont="1" applyFill="1" applyBorder="1"/>
    <xf numFmtId="3" fontId="0" fillId="5" borderId="10" xfId="0" applyNumberFormat="1" applyFill="1" applyBorder="1" applyAlignment="1">
      <alignment horizontal="center"/>
    </xf>
    <xf numFmtId="9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" fillId="0" borderId="0" xfId="0" applyFont="1"/>
    <xf numFmtId="164" fontId="0" fillId="0" borderId="8" xfId="0" applyNumberFormat="1" applyBorder="1" applyAlignment="1">
      <alignment horizontal="right"/>
    </xf>
    <xf numFmtId="165" fontId="5" fillId="5" borderId="13" xfId="0" applyNumberFormat="1" applyFont="1" applyFill="1" applyBorder="1"/>
    <xf numFmtId="165" fontId="5" fillId="3" borderId="13" xfId="0" applyNumberFormat="1" applyFont="1" applyFill="1" applyBorder="1"/>
    <xf numFmtId="165" fontId="3" fillId="2" borderId="6" xfId="0" applyNumberFormat="1" applyFont="1" applyFill="1" applyBorder="1"/>
    <xf numFmtId="165" fontId="6" fillId="5" borderId="13" xfId="0" applyNumberFormat="1" applyFont="1" applyFill="1" applyBorder="1"/>
    <xf numFmtId="165" fontId="7" fillId="5" borderId="13" xfId="0" applyNumberFormat="1" applyFont="1" applyFill="1" applyBorder="1"/>
    <xf numFmtId="165" fontId="13" fillId="6" borderId="13" xfId="0" applyNumberFormat="1" applyFont="1" applyFill="1" applyBorder="1"/>
    <xf numFmtId="9" fontId="0" fillId="0" borderId="0" xfId="0" applyNumberFormat="1" applyAlignment="1">
      <alignment horizontal="right"/>
    </xf>
    <xf numFmtId="165" fontId="20" fillId="6" borderId="0" xfId="0" applyNumberFormat="1" applyFont="1" applyFill="1"/>
    <xf numFmtId="9" fontId="20" fillId="6" borderId="1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9" fontId="20" fillId="6" borderId="1" xfId="1" applyNumberFormat="1" applyFont="1" applyFill="1" applyBorder="1" applyAlignment="1"/>
    <xf numFmtId="9" fontId="0" fillId="6" borderId="0" xfId="0" applyNumberFormat="1" applyFill="1" applyAlignment="1">
      <alignment horizontal="right"/>
    </xf>
    <xf numFmtId="9" fontId="6" fillId="6" borderId="0" xfId="0" applyNumberFormat="1" applyFont="1" applyFill="1" applyAlignment="1">
      <alignment horizontal="right"/>
    </xf>
    <xf numFmtId="9" fontId="0" fillId="6" borderId="0" xfId="0" applyNumberFormat="1" applyFill="1" applyAlignment="1">
      <alignment horizontal="center"/>
    </xf>
    <xf numFmtId="9" fontId="0" fillId="6" borderId="0" xfId="0" applyNumberFormat="1" applyFill="1"/>
    <xf numFmtId="9" fontId="13" fillId="6" borderId="1" xfId="1" applyNumberFormat="1" applyFont="1" applyFill="1" applyBorder="1" applyAlignment="1"/>
    <xf numFmtId="9" fontId="13" fillId="6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tabSelected="1" zoomScale="90" zoomScaleNormal="90" workbookViewId="0">
      <selection activeCell="J71" sqref="J71"/>
    </sheetView>
  </sheetViews>
  <sheetFormatPr defaultColWidth="9.06640625" defaultRowHeight="14.25"/>
  <cols>
    <col min="1" max="1" width="2" customWidth="1"/>
    <col min="2" max="2" width="10.06640625" customWidth="1"/>
    <col min="5" max="5" width="15.86328125" customWidth="1"/>
    <col min="6" max="6" width="8.59765625" bestFit="1" customWidth="1"/>
    <col min="7" max="7" width="7.265625" style="1" bestFit="1" customWidth="1"/>
    <col min="8" max="8" width="11" style="35" bestFit="1" customWidth="1"/>
    <col min="9" max="9" width="10" bestFit="1" customWidth="1"/>
    <col min="10" max="10" width="15.33203125" bestFit="1" customWidth="1"/>
    <col min="11" max="11" width="11" bestFit="1" customWidth="1"/>
    <col min="12" max="12" width="12.1328125" bestFit="1" customWidth="1"/>
    <col min="13" max="13" width="21.1328125" customWidth="1"/>
    <col min="14" max="14" width="16" customWidth="1"/>
  </cols>
  <sheetData>
    <row r="1" spans="2:13" s="26" customFormat="1">
      <c r="B1" s="26" t="s">
        <v>21</v>
      </c>
      <c r="G1" s="25"/>
      <c r="H1" s="34"/>
    </row>
    <row r="2" spans="2:13">
      <c r="B2" t="s">
        <v>22</v>
      </c>
      <c r="D2" t="s">
        <v>60</v>
      </c>
    </row>
    <row r="3" spans="2:13" ht="15.75">
      <c r="B3" s="9" t="s">
        <v>12</v>
      </c>
      <c r="C3" s="10"/>
      <c r="D3" s="10"/>
      <c r="E3" s="11"/>
      <c r="F3" s="30" t="s">
        <v>3</v>
      </c>
      <c r="G3" s="12" t="s">
        <v>10</v>
      </c>
      <c r="H3" s="15" t="s">
        <v>0</v>
      </c>
      <c r="I3" s="41" t="s">
        <v>57</v>
      </c>
      <c r="J3" s="41" t="s">
        <v>84</v>
      </c>
      <c r="K3" s="41" t="s">
        <v>90</v>
      </c>
      <c r="L3" s="41" t="s">
        <v>15</v>
      </c>
      <c r="M3" s="41" t="s">
        <v>23</v>
      </c>
    </row>
    <row r="4" spans="2:13">
      <c r="B4" s="17" t="s">
        <v>61</v>
      </c>
      <c r="C4" s="3"/>
      <c r="D4" s="3"/>
      <c r="E4" s="4"/>
      <c r="F4" s="31">
        <v>17000</v>
      </c>
      <c r="G4" s="13">
        <v>1</v>
      </c>
      <c r="H4" s="36">
        <f>273*F4</f>
        <v>4641000</v>
      </c>
      <c r="I4" s="54"/>
      <c r="J4" s="28">
        <f>(H4+I4)*G4</f>
        <v>4641000</v>
      </c>
      <c r="K4" s="28">
        <f t="shared" ref="K4:K15" si="0">I4*G4</f>
        <v>0</v>
      </c>
      <c r="L4" s="54"/>
    </row>
    <row r="5" spans="2:13">
      <c r="B5" s="5" t="s">
        <v>82</v>
      </c>
      <c r="E5" s="6"/>
      <c r="F5" s="32">
        <f>F4*0.6</f>
        <v>10200</v>
      </c>
      <c r="G5" s="14">
        <v>1</v>
      </c>
      <c r="H5" s="37">
        <f>4000*F5</f>
        <v>40800000</v>
      </c>
      <c r="I5" s="54">
        <f>H5*21%</f>
        <v>8568000</v>
      </c>
      <c r="J5" s="28">
        <f t="shared" ref="J5:J38" si="1">(H5+I5)*G5</f>
        <v>49368000</v>
      </c>
      <c r="K5" s="28">
        <f t="shared" si="0"/>
        <v>8568000</v>
      </c>
      <c r="L5" s="54"/>
      <c r="M5" t="s">
        <v>56</v>
      </c>
    </row>
    <row r="6" spans="2:13">
      <c r="B6" s="16" t="s">
        <v>2</v>
      </c>
      <c r="D6" s="8"/>
      <c r="E6" s="8"/>
      <c r="F6" s="8"/>
      <c r="G6" s="8"/>
      <c r="H6" s="38"/>
      <c r="I6" s="55"/>
      <c r="J6" s="28"/>
      <c r="K6" s="28">
        <f t="shared" si="0"/>
        <v>0</v>
      </c>
      <c r="L6" s="56">
        <f>J4+J5</f>
        <v>54009000</v>
      </c>
      <c r="M6" t="s">
        <v>19</v>
      </c>
    </row>
    <row r="7" spans="2:13">
      <c r="B7" s="17" t="s">
        <v>61</v>
      </c>
      <c r="C7" s="3"/>
      <c r="D7" s="3"/>
      <c r="E7" s="4"/>
      <c r="F7" s="31">
        <v>2000</v>
      </c>
      <c r="G7" s="13">
        <v>1</v>
      </c>
      <c r="H7" s="36">
        <f>273*F7</f>
        <v>546000</v>
      </c>
      <c r="I7" s="54"/>
      <c r="J7" s="28">
        <f t="shared" si="1"/>
        <v>546000</v>
      </c>
      <c r="K7" s="28">
        <f t="shared" si="0"/>
        <v>0</v>
      </c>
      <c r="L7" s="54"/>
    </row>
    <row r="8" spans="2:13">
      <c r="B8" s="5" t="s">
        <v>78</v>
      </c>
      <c r="E8" s="6"/>
      <c r="F8" s="32">
        <f>F7*0.6</f>
        <v>1200</v>
      </c>
      <c r="G8" s="14">
        <v>1</v>
      </c>
      <c r="H8" s="37">
        <f>1200*F8</f>
        <v>1440000</v>
      </c>
      <c r="I8" s="54">
        <f>H8*21%</f>
        <v>302400</v>
      </c>
      <c r="J8" s="28">
        <f t="shared" si="1"/>
        <v>1742400</v>
      </c>
      <c r="K8" s="28">
        <f t="shared" si="0"/>
        <v>302400</v>
      </c>
      <c r="L8" s="54"/>
      <c r="M8" t="s">
        <v>56</v>
      </c>
    </row>
    <row r="9" spans="2:13">
      <c r="B9" s="16" t="s">
        <v>2</v>
      </c>
      <c r="D9" s="8"/>
      <c r="E9" s="8"/>
      <c r="F9" s="8"/>
      <c r="G9" s="8"/>
      <c r="H9" s="38"/>
      <c r="I9" s="55"/>
      <c r="J9" s="28">
        <f t="shared" si="1"/>
        <v>0</v>
      </c>
      <c r="K9" s="28">
        <f t="shared" si="0"/>
        <v>0</v>
      </c>
      <c r="L9" s="56">
        <f>J7+J8</f>
        <v>2288400</v>
      </c>
      <c r="M9" t="s">
        <v>19</v>
      </c>
    </row>
    <row r="10" spans="2:13">
      <c r="B10" s="17" t="s">
        <v>67</v>
      </c>
      <c r="C10" s="3"/>
      <c r="D10" s="3"/>
      <c r="E10" s="4"/>
      <c r="F10" s="31">
        <v>17000</v>
      </c>
      <c r="G10" s="13">
        <v>1</v>
      </c>
      <c r="H10" s="36">
        <f>273*F10</f>
        <v>4641000</v>
      </c>
      <c r="I10" s="54"/>
      <c r="J10" s="28">
        <f>(H10+I10)*G10</f>
        <v>4641000</v>
      </c>
      <c r="K10" s="28">
        <f t="shared" si="0"/>
        <v>0</v>
      </c>
      <c r="L10" s="54"/>
    </row>
    <row r="11" spans="2:13">
      <c r="B11" s="5" t="s">
        <v>83</v>
      </c>
      <c r="E11" s="6"/>
      <c r="F11" s="32">
        <f>F10*0.6</f>
        <v>10200</v>
      </c>
      <c r="G11" s="14">
        <v>1</v>
      </c>
      <c r="H11" s="37">
        <f>3000*F11</f>
        <v>30600000</v>
      </c>
      <c r="I11" s="54">
        <f>H11*21%</f>
        <v>6426000</v>
      </c>
      <c r="J11" s="28">
        <f>(H11+I11)*G11</f>
        <v>37026000</v>
      </c>
      <c r="K11" s="28">
        <f t="shared" si="0"/>
        <v>6426000</v>
      </c>
      <c r="L11" s="54"/>
      <c r="M11" t="s">
        <v>56</v>
      </c>
    </row>
    <row r="12" spans="2:13">
      <c r="B12" s="16" t="s">
        <v>2</v>
      </c>
      <c r="D12" s="8"/>
      <c r="E12" s="8"/>
      <c r="F12" s="8"/>
      <c r="G12" s="8"/>
      <c r="H12" s="38"/>
      <c r="I12" s="55"/>
      <c r="J12" s="28">
        <f>(H12+I12)*G12</f>
        <v>0</v>
      </c>
      <c r="K12" s="28">
        <f t="shared" si="0"/>
        <v>0</v>
      </c>
      <c r="L12" s="56">
        <f>J10+J11</f>
        <v>41667000</v>
      </c>
      <c r="M12" t="s">
        <v>19</v>
      </c>
    </row>
    <row r="13" spans="2:13">
      <c r="B13" s="17" t="s">
        <v>61</v>
      </c>
      <c r="C13" s="3"/>
      <c r="D13" s="3"/>
      <c r="E13" s="4"/>
      <c r="F13" s="31">
        <v>2000</v>
      </c>
      <c r="G13" s="13">
        <v>1</v>
      </c>
      <c r="H13" s="36">
        <f>273*F13</f>
        <v>546000</v>
      </c>
      <c r="I13" s="54"/>
      <c r="J13" s="28">
        <f t="shared" ref="J13:J15" si="2">(H13+I13)*G13</f>
        <v>546000</v>
      </c>
      <c r="K13" s="28">
        <f t="shared" si="0"/>
        <v>0</v>
      </c>
      <c r="L13" s="54"/>
    </row>
    <row r="14" spans="2:13">
      <c r="B14" s="5" t="s">
        <v>93</v>
      </c>
      <c r="E14" s="6"/>
      <c r="F14" s="32">
        <f>F13*0.6</f>
        <v>1200</v>
      </c>
      <c r="G14" s="14">
        <v>1</v>
      </c>
      <c r="H14" s="37">
        <f>1200*F14</f>
        <v>1440000</v>
      </c>
      <c r="I14" s="54">
        <f>H14*21%</f>
        <v>302400</v>
      </c>
      <c r="J14" s="28">
        <f t="shared" si="2"/>
        <v>1742400</v>
      </c>
      <c r="K14" s="28">
        <f t="shared" si="0"/>
        <v>302400</v>
      </c>
      <c r="L14" s="54"/>
      <c r="M14" t="s">
        <v>56</v>
      </c>
    </row>
    <row r="15" spans="2:13">
      <c r="B15" s="16" t="s">
        <v>2</v>
      </c>
      <c r="D15" s="8"/>
      <c r="E15" s="8"/>
      <c r="F15" s="8"/>
      <c r="G15" s="8"/>
      <c r="H15" s="38"/>
      <c r="I15" s="55"/>
      <c r="J15" s="28">
        <f t="shared" si="2"/>
        <v>0</v>
      </c>
      <c r="K15" s="28">
        <f t="shared" si="0"/>
        <v>0</v>
      </c>
      <c r="L15" s="56">
        <f>J13+J14</f>
        <v>2288400</v>
      </c>
      <c r="M15" t="s">
        <v>19</v>
      </c>
    </row>
    <row r="16" spans="2:13">
      <c r="B16" s="17" t="s">
        <v>62</v>
      </c>
      <c r="C16" s="3"/>
      <c r="D16" s="3"/>
      <c r="E16" s="4"/>
      <c r="F16" s="31">
        <v>5000</v>
      </c>
      <c r="G16" s="13">
        <v>5</v>
      </c>
      <c r="H16" s="36">
        <f>900*F16</f>
        <v>4500000</v>
      </c>
      <c r="I16" s="54">
        <f>H16*3%</f>
        <v>135000</v>
      </c>
      <c r="J16" s="28">
        <f t="shared" si="1"/>
        <v>23175000</v>
      </c>
      <c r="K16" s="28">
        <f>I16*G16</f>
        <v>675000</v>
      </c>
      <c r="L16" s="54"/>
    </row>
    <row r="17" spans="2:13">
      <c r="B17" s="5" t="s">
        <v>63</v>
      </c>
      <c r="E17" s="6"/>
      <c r="F17" s="32">
        <f>F16*0.3</f>
        <v>1500</v>
      </c>
      <c r="G17" s="13">
        <v>5</v>
      </c>
      <c r="H17" s="37">
        <f>9000*F17</f>
        <v>13500000</v>
      </c>
      <c r="I17" s="54">
        <f>H17*21%</f>
        <v>2835000</v>
      </c>
      <c r="J17" s="28">
        <f t="shared" si="1"/>
        <v>81675000</v>
      </c>
      <c r="K17" s="28">
        <f t="shared" ref="K17:K33" si="3">I17*G17</f>
        <v>14175000</v>
      </c>
      <c r="L17" s="54"/>
    </row>
    <row r="18" spans="2:13">
      <c r="B18" s="16" t="s">
        <v>85</v>
      </c>
      <c r="D18" s="8"/>
      <c r="E18" s="8"/>
      <c r="F18" s="8"/>
      <c r="G18" s="8"/>
      <c r="H18" s="97">
        <f>SUM(H16:H17)</f>
        <v>18000000</v>
      </c>
      <c r="I18" s="97">
        <f>SUM(I16:I17)</f>
        <v>2970000</v>
      </c>
      <c r="J18" s="28">
        <f>SUM(H18:I18)</f>
        <v>20970000</v>
      </c>
      <c r="K18" s="28">
        <f t="shared" si="3"/>
        <v>0</v>
      </c>
      <c r="L18" s="55"/>
    </row>
    <row r="19" spans="2:13">
      <c r="B19" s="17" t="s">
        <v>61</v>
      </c>
      <c r="C19" s="3"/>
      <c r="D19" s="3"/>
      <c r="E19" s="4"/>
      <c r="F19" s="31">
        <v>4300</v>
      </c>
      <c r="G19" s="13">
        <v>9</v>
      </c>
      <c r="H19" s="36">
        <f>1200*F19</f>
        <v>5160000</v>
      </c>
      <c r="I19" s="54">
        <f>H19*3%</f>
        <v>154800</v>
      </c>
      <c r="J19" s="28">
        <f t="shared" si="1"/>
        <v>47833200</v>
      </c>
      <c r="K19" s="28">
        <f t="shared" si="3"/>
        <v>1393200</v>
      </c>
      <c r="L19" s="54"/>
    </row>
    <row r="20" spans="2:13">
      <c r="B20" s="5" t="s">
        <v>74</v>
      </c>
      <c r="E20" s="6"/>
      <c r="F20" s="32">
        <f>F19*0.3</f>
        <v>1290</v>
      </c>
      <c r="G20" s="13">
        <v>9</v>
      </c>
      <c r="H20" s="37">
        <f>10000*F20</f>
        <v>12900000</v>
      </c>
      <c r="I20" s="54">
        <f>H20*21%</f>
        <v>2709000</v>
      </c>
      <c r="J20" s="28">
        <f t="shared" si="1"/>
        <v>140481000</v>
      </c>
      <c r="K20" s="28">
        <f t="shared" si="3"/>
        <v>24381000</v>
      </c>
      <c r="L20" s="54"/>
    </row>
    <row r="21" spans="2:13">
      <c r="B21" s="16" t="s">
        <v>85</v>
      </c>
      <c r="D21" s="8"/>
      <c r="E21" s="8"/>
      <c r="F21" s="8"/>
      <c r="G21" s="8"/>
      <c r="H21" s="97">
        <f>SUM(H19:H20)</f>
        <v>18060000</v>
      </c>
      <c r="I21" s="97">
        <f>SUM(I19:I20)</f>
        <v>2863800</v>
      </c>
      <c r="J21" s="28">
        <f>SUM(H21:I21)</f>
        <v>20923800</v>
      </c>
      <c r="K21" s="28">
        <f t="shared" si="3"/>
        <v>0</v>
      </c>
      <c r="L21" s="55"/>
    </row>
    <row r="22" spans="2:13">
      <c r="B22" s="17" t="s">
        <v>62</v>
      </c>
      <c r="C22" s="3"/>
      <c r="D22" s="3"/>
      <c r="E22" s="4"/>
      <c r="F22" s="31">
        <v>4300</v>
      </c>
      <c r="G22" s="13">
        <v>13</v>
      </c>
      <c r="H22" s="36">
        <f>900*F22</f>
        <v>3870000</v>
      </c>
      <c r="I22" s="54">
        <f>H22*3%</f>
        <v>116100</v>
      </c>
      <c r="J22" s="28">
        <f t="shared" si="1"/>
        <v>51819300</v>
      </c>
      <c r="K22" s="28">
        <f t="shared" si="3"/>
        <v>1509300</v>
      </c>
      <c r="L22" s="54"/>
    </row>
    <row r="23" spans="2:13">
      <c r="B23" s="5" t="s">
        <v>64</v>
      </c>
      <c r="E23" s="6"/>
      <c r="F23" s="32">
        <f>F22*0.3</f>
        <v>1290</v>
      </c>
      <c r="G23" s="13">
        <v>13</v>
      </c>
      <c r="H23" s="37">
        <f>10000*F23</f>
        <v>12900000</v>
      </c>
      <c r="I23" s="54">
        <f>H23*21%</f>
        <v>2709000</v>
      </c>
      <c r="J23" s="28">
        <f t="shared" si="1"/>
        <v>202917000</v>
      </c>
      <c r="K23" s="28">
        <f t="shared" si="3"/>
        <v>35217000</v>
      </c>
      <c r="L23" s="54"/>
    </row>
    <row r="24" spans="2:13">
      <c r="B24" s="16" t="s">
        <v>85</v>
      </c>
      <c r="D24" s="8"/>
      <c r="E24" s="8"/>
      <c r="F24" s="8"/>
      <c r="G24" s="8"/>
      <c r="H24" s="97">
        <f>SUM(H22:H23)</f>
        <v>16770000</v>
      </c>
      <c r="I24" s="97">
        <f>SUM(I22:I23)</f>
        <v>2825100</v>
      </c>
      <c r="J24" s="28">
        <f>SUM(H24:I24)</f>
        <v>19595100</v>
      </c>
      <c r="K24" s="28">
        <f t="shared" si="3"/>
        <v>0</v>
      </c>
      <c r="L24" s="55"/>
    </row>
    <row r="25" spans="2:13">
      <c r="B25" s="17" t="s">
        <v>62</v>
      </c>
      <c r="C25" s="3"/>
      <c r="D25" s="3"/>
      <c r="E25" s="4"/>
      <c r="F25" s="31">
        <v>4300</v>
      </c>
      <c r="G25" s="13">
        <v>13</v>
      </c>
      <c r="H25" s="36">
        <f>800*F25</f>
        <v>3440000</v>
      </c>
      <c r="I25" s="54">
        <f>H25*3%</f>
        <v>103200</v>
      </c>
      <c r="J25" s="28">
        <f t="shared" si="1"/>
        <v>46061600</v>
      </c>
      <c r="K25" s="28">
        <f t="shared" si="3"/>
        <v>1341600</v>
      </c>
      <c r="L25" s="54"/>
    </row>
    <row r="26" spans="2:13">
      <c r="B26" s="5" t="s">
        <v>65</v>
      </c>
      <c r="E26" s="6"/>
      <c r="F26" s="32">
        <f>F25*0.3</f>
        <v>1290</v>
      </c>
      <c r="G26" s="13">
        <v>13</v>
      </c>
      <c r="H26" s="37">
        <f>10000*F26</f>
        <v>12900000</v>
      </c>
      <c r="I26" s="54">
        <f>H26*21%</f>
        <v>2709000</v>
      </c>
      <c r="J26" s="28">
        <f t="shared" si="1"/>
        <v>202917000</v>
      </c>
      <c r="K26" s="28">
        <f t="shared" si="3"/>
        <v>35217000</v>
      </c>
      <c r="L26" s="54"/>
    </row>
    <row r="27" spans="2:13">
      <c r="B27" s="16" t="s">
        <v>85</v>
      </c>
      <c r="D27" s="8"/>
      <c r="E27" s="8"/>
      <c r="F27" s="8"/>
      <c r="G27" s="8"/>
      <c r="H27" s="97">
        <f>SUM(H25:H26)</f>
        <v>16340000</v>
      </c>
      <c r="I27" s="97">
        <f>SUM(I25:I26)</f>
        <v>2812200</v>
      </c>
      <c r="J27" s="28">
        <f>SUM(H27:I27)</f>
        <v>19152200</v>
      </c>
      <c r="K27" s="28">
        <f t="shared" si="3"/>
        <v>0</v>
      </c>
      <c r="L27" s="55"/>
    </row>
    <row r="28" spans="2:13">
      <c r="B28" s="17" t="s">
        <v>62</v>
      </c>
      <c r="C28" s="3"/>
      <c r="D28" s="3"/>
      <c r="E28" s="4"/>
      <c r="F28" s="31">
        <v>2150</v>
      </c>
      <c r="G28" s="13">
        <v>2</v>
      </c>
      <c r="H28" s="36">
        <f>273*F28</f>
        <v>586950</v>
      </c>
      <c r="I28" s="54">
        <f>H28*3%</f>
        <v>17608.5</v>
      </c>
      <c r="J28" s="28">
        <f t="shared" si="1"/>
        <v>1209117</v>
      </c>
      <c r="K28" s="28">
        <f t="shared" si="3"/>
        <v>35217</v>
      </c>
      <c r="L28" s="54"/>
    </row>
    <row r="29" spans="2:13">
      <c r="B29" s="5" t="s">
        <v>92</v>
      </c>
      <c r="E29" s="6"/>
      <c r="F29" s="32">
        <f>F28*0.3</f>
        <v>645</v>
      </c>
      <c r="G29" s="14">
        <v>2</v>
      </c>
      <c r="H29" s="37">
        <f>5000*F29</f>
        <v>3225000</v>
      </c>
      <c r="I29" s="54">
        <f>H29*21%</f>
        <v>677250</v>
      </c>
      <c r="J29" s="28">
        <f t="shared" si="1"/>
        <v>7804500</v>
      </c>
      <c r="K29" s="28">
        <f t="shared" si="3"/>
        <v>1354500</v>
      </c>
      <c r="L29" s="54"/>
    </row>
    <row r="30" spans="2:13">
      <c r="B30" s="16" t="s">
        <v>85</v>
      </c>
      <c r="D30" s="8"/>
      <c r="E30" s="8"/>
      <c r="F30" s="8"/>
      <c r="G30" s="8"/>
      <c r="H30" s="97">
        <f>SUM(H28:H29)</f>
        <v>3811950</v>
      </c>
      <c r="I30" s="97">
        <f>SUM(I28:I29)</f>
        <v>694858.5</v>
      </c>
      <c r="J30" s="28">
        <f>SUM(H30:I30)</f>
        <v>4506808.5</v>
      </c>
      <c r="K30" s="28">
        <f t="shared" si="3"/>
        <v>0</v>
      </c>
      <c r="L30" s="55">
        <f>J30*G29</f>
        <v>9013617</v>
      </c>
      <c r="M30" t="s">
        <v>19</v>
      </c>
    </row>
    <row r="31" spans="2:13">
      <c r="B31" s="17" t="s">
        <v>62</v>
      </c>
      <c r="C31" s="3"/>
      <c r="D31" s="3"/>
      <c r="E31" s="4"/>
      <c r="F31" s="31">
        <v>2150</v>
      </c>
      <c r="G31" s="13">
        <v>2</v>
      </c>
      <c r="H31" s="36">
        <f>273*F31</f>
        <v>586950</v>
      </c>
      <c r="I31" s="54">
        <f>H31*3%</f>
        <v>17608.5</v>
      </c>
      <c r="J31" s="28">
        <f t="shared" si="1"/>
        <v>1209117</v>
      </c>
      <c r="K31" s="28">
        <f t="shared" si="3"/>
        <v>35217</v>
      </c>
      <c r="L31" s="55"/>
    </row>
    <row r="32" spans="2:13">
      <c r="B32" s="5" t="s">
        <v>72</v>
      </c>
      <c r="E32" s="6"/>
      <c r="F32" s="32">
        <f>F31*0.3</f>
        <v>645</v>
      </c>
      <c r="G32" s="14">
        <v>2</v>
      </c>
      <c r="H32" s="37">
        <f>5000*F32</f>
        <v>3225000</v>
      </c>
      <c r="I32" s="54">
        <f>H32*21%</f>
        <v>677250</v>
      </c>
      <c r="J32" s="28">
        <f t="shared" si="1"/>
        <v>7804500</v>
      </c>
      <c r="K32" s="28">
        <f t="shared" si="3"/>
        <v>1354500</v>
      </c>
      <c r="L32" s="55"/>
    </row>
    <row r="33" spans="2:13">
      <c r="B33" s="16" t="s">
        <v>85</v>
      </c>
      <c r="D33" s="8"/>
      <c r="E33" s="8"/>
      <c r="F33" s="8"/>
      <c r="G33" s="8"/>
      <c r="H33" s="97">
        <f>SUM(H31:H32)</f>
        <v>3811950</v>
      </c>
      <c r="I33" s="97">
        <f>SUM(I31:I32)</f>
        <v>694858.5</v>
      </c>
      <c r="J33" s="28">
        <f>SUM(H33:I33)</f>
        <v>4506808.5</v>
      </c>
      <c r="K33" s="28">
        <f t="shared" si="3"/>
        <v>0</v>
      </c>
      <c r="L33" s="55">
        <f>J33*G32</f>
        <v>9013617</v>
      </c>
      <c r="M33" t="s">
        <v>19</v>
      </c>
    </row>
    <row r="34" spans="2:13" ht="15.75">
      <c r="B34" t="s">
        <v>111</v>
      </c>
      <c r="E34" s="107" t="s">
        <v>112</v>
      </c>
      <c r="F34" s="33">
        <f>(F25*G25)+(F22*G22)+(F19*G19)+(F16*G16)</f>
        <v>175500</v>
      </c>
      <c r="G34" s="33"/>
      <c r="H34" s="33">
        <f>(H25*G25)+(H22*G22)+(H19*G19)+(H16*G16)</f>
        <v>163970000</v>
      </c>
      <c r="I34" s="33"/>
      <c r="J34" s="33">
        <f>J25+J22+J19+J16</f>
        <v>168889100</v>
      </c>
      <c r="K34" s="33">
        <f>K25+K22+K19+K16</f>
        <v>4919100</v>
      </c>
      <c r="L34" s="86"/>
      <c r="M34" t="s">
        <v>56</v>
      </c>
    </row>
    <row r="35" spans="2:13" ht="15.75">
      <c r="B35" t="s">
        <v>87</v>
      </c>
      <c r="E35" s="107" t="s">
        <v>112</v>
      </c>
      <c r="F35" s="33">
        <f>(F26*G26)+(F23*G23)+(F20*G20)+(F17*G17)</f>
        <v>52650</v>
      </c>
      <c r="G35" s="33"/>
      <c r="H35" s="33">
        <f>(H26*G26)+(H23*G23)+(H20*G20)+(H17*G17)</f>
        <v>519000000</v>
      </c>
      <c r="I35" s="33"/>
      <c r="J35" s="33">
        <f>J26+J23+J20+J17</f>
        <v>627990000</v>
      </c>
      <c r="K35" s="33">
        <f>K26+K23+K20+K17</f>
        <v>108990000</v>
      </c>
      <c r="L35" s="54"/>
      <c r="M35" t="s">
        <v>56</v>
      </c>
    </row>
    <row r="36" spans="2:13">
      <c r="B36" s="20" t="s">
        <v>68</v>
      </c>
      <c r="C36" s="21"/>
      <c r="D36" s="21"/>
      <c r="E36" s="21"/>
      <c r="F36" s="22"/>
      <c r="G36" s="93">
        <f>G26+G23+G20+G17</f>
        <v>40</v>
      </c>
      <c r="H36" s="39"/>
      <c r="I36" s="54"/>
      <c r="J36" s="28">
        <f>SUM(J34:J35)</f>
        <v>796879100</v>
      </c>
      <c r="K36" s="28"/>
      <c r="L36" s="54"/>
      <c r="M36" s="50"/>
    </row>
    <row r="37" spans="2:13">
      <c r="B37" s="17" t="s">
        <v>77</v>
      </c>
      <c r="C37" s="3"/>
      <c r="D37" s="3"/>
      <c r="E37" s="4"/>
      <c r="F37" s="31">
        <v>100000</v>
      </c>
      <c r="G37" s="13">
        <v>1</v>
      </c>
      <c r="H37" s="36">
        <v>1000000</v>
      </c>
      <c r="I37" s="54">
        <f>H37*3%</f>
        <v>30000</v>
      </c>
      <c r="J37" s="28">
        <f t="shared" si="1"/>
        <v>1030000</v>
      </c>
      <c r="K37" s="28">
        <v>30000</v>
      </c>
      <c r="L37" s="54"/>
      <c r="M37" t="s">
        <v>88</v>
      </c>
    </row>
    <row r="38" spans="2:13">
      <c r="B38" s="5" t="s">
        <v>14</v>
      </c>
      <c r="E38" s="6"/>
      <c r="F38" s="32"/>
      <c r="G38" s="14">
        <v>1</v>
      </c>
      <c r="H38" s="37">
        <v>500000</v>
      </c>
      <c r="I38" s="54">
        <f>H38*3%</f>
        <v>15000</v>
      </c>
      <c r="J38" s="28">
        <f t="shared" si="1"/>
        <v>515000</v>
      </c>
      <c r="K38" s="28">
        <v>15000</v>
      </c>
      <c r="L38" s="54"/>
      <c r="M38" t="s">
        <v>88</v>
      </c>
    </row>
    <row r="39" spans="2:13">
      <c r="B39" s="7" t="s">
        <v>2</v>
      </c>
      <c r="C39" s="8"/>
      <c r="D39" s="8"/>
      <c r="E39" s="8"/>
      <c r="F39" s="8"/>
      <c r="G39" s="8"/>
      <c r="H39" s="38"/>
      <c r="I39" s="54"/>
      <c r="J39" s="28">
        <f>SUM(J37:J38)</f>
        <v>1545000</v>
      </c>
      <c r="K39" s="28"/>
      <c r="L39" s="56">
        <f>J37+J38</f>
        <v>1545000</v>
      </c>
      <c r="M39" t="s">
        <v>19</v>
      </c>
    </row>
    <row r="40" spans="2:13">
      <c r="B40" s="20" t="s">
        <v>89</v>
      </c>
      <c r="C40" s="21"/>
      <c r="D40" s="21"/>
      <c r="E40" s="22"/>
      <c r="F40" s="22"/>
      <c r="G40" s="22"/>
      <c r="H40" s="39"/>
      <c r="I40" s="54"/>
      <c r="J40" s="19">
        <f>J12+J39+I37+I10</f>
        <v>1575000</v>
      </c>
      <c r="K40" s="98"/>
      <c r="L40" s="54"/>
    </row>
    <row r="41" spans="2:13">
      <c r="B41" t="s">
        <v>69</v>
      </c>
      <c r="G41" s="2"/>
      <c r="I41" s="54"/>
      <c r="J41" s="28">
        <f>J39+J11+J32+J29+J8+J5+J14+H35/2*1.21</f>
        <v>421027800</v>
      </c>
      <c r="K41" s="28"/>
      <c r="L41" s="54"/>
    </row>
    <row r="42" spans="2:13">
      <c r="B42" t="s">
        <v>70</v>
      </c>
      <c r="G42" s="2"/>
      <c r="I42" s="54"/>
      <c r="J42" s="28">
        <v>95000000</v>
      </c>
      <c r="K42" s="28">
        <f>J42-J42/1.03</f>
        <v>2766990.2912621349</v>
      </c>
      <c r="L42" s="54"/>
      <c r="M42" t="s">
        <v>88</v>
      </c>
    </row>
    <row r="43" spans="2:13">
      <c r="B43" t="s">
        <v>107</v>
      </c>
      <c r="G43" s="2"/>
      <c r="I43" s="54"/>
      <c r="J43" s="28">
        <v>10000000</v>
      </c>
      <c r="K43" s="28">
        <f>J43-J43/1.21</f>
        <v>1735537.1900826441</v>
      </c>
      <c r="L43" s="54">
        <v>10000000</v>
      </c>
      <c r="M43" t="s">
        <v>108</v>
      </c>
    </row>
    <row r="44" spans="2:13">
      <c r="B44" s="96" t="s">
        <v>113</v>
      </c>
      <c r="G44" s="40"/>
      <c r="I44" s="54"/>
      <c r="J44" s="28">
        <f>J41*4%</f>
        <v>16841112</v>
      </c>
      <c r="K44" s="28"/>
      <c r="L44" s="54"/>
    </row>
    <row r="45" spans="2:13">
      <c r="B45" t="s">
        <v>4</v>
      </c>
      <c r="G45" s="104">
        <v>0.04</v>
      </c>
      <c r="I45" s="54"/>
      <c r="J45" s="28">
        <f>J60*G45</f>
        <v>10000000</v>
      </c>
      <c r="K45" s="28"/>
      <c r="L45" s="54"/>
    </row>
    <row r="46" spans="2:13">
      <c r="B46" s="20" t="s">
        <v>58</v>
      </c>
      <c r="C46" s="21"/>
      <c r="D46" s="21"/>
      <c r="E46" s="22"/>
      <c r="F46" s="22"/>
      <c r="G46" s="22"/>
      <c r="H46" s="39"/>
      <c r="I46" s="54"/>
      <c r="J46" s="19">
        <f>J42+J44+J45+J41+J43</f>
        <v>552868912</v>
      </c>
      <c r="K46" s="98"/>
      <c r="L46" s="54"/>
    </row>
    <row r="47" spans="2:13">
      <c r="B47" t="s">
        <v>1</v>
      </c>
      <c r="C47" t="s">
        <v>94</v>
      </c>
      <c r="I47" s="54"/>
      <c r="J47" s="53">
        <v>4500000</v>
      </c>
      <c r="K47" s="53"/>
      <c r="L47" s="54"/>
      <c r="M47" t="s">
        <v>56</v>
      </c>
    </row>
    <row r="48" spans="2:13">
      <c r="C48" t="s">
        <v>95</v>
      </c>
      <c r="I48" s="54"/>
      <c r="J48" s="28">
        <v>12000000</v>
      </c>
      <c r="K48" s="28"/>
      <c r="L48" s="54"/>
      <c r="M48" t="s">
        <v>56</v>
      </c>
    </row>
    <row r="49" spans="1:13">
      <c r="C49" t="s">
        <v>5</v>
      </c>
      <c r="I49" s="54"/>
      <c r="J49" s="28">
        <v>17000000</v>
      </c>
      <c r="K49" s="28"/>
      <c r="L49" s="54"/>
    </row>
    <row r="50" spans="1:13">
      <c r="C50" s="26" t="s">
        <v>6</v>
      </c>
      <c r="I50" s="54"/>
      <c r="J50" s="18">
        <f>SUM(J47:J49)</f>
        <v>33500000</v>
      </c>
      <c r="K50" s="18"/>
      <c r="L50" s="56">
        <f>J50+I48</f>
        <v>33500000</v>
      </c>
      <c r="M50" t="s">
        <v>19</v>
      </c>
    </row>
    <row r="51" spans="1:13">
      <c r="B51" s="20" t="s">
        <v>71</v>
      </c>
      <c r="C51" s="21"/>
      <c r="D51" s="21"/>
      <c r="E51" s="22"/>
      <c r="F51" s="22"/>
      <c r="G51" s="22"/>
      <c r="H51" s="39"/>
      <c r="I51" s="54"/>
      <c r="J51" s="19">
        <f>J50+J46</f>
        <v>586368912</v>
      </c>
      <c r="K51" s="98"/>
      <c r="L51" s="54"/>
    </row>
    <row r="52" spans="1:13">
      <c r="B52" s="88" t="s">
        <v>68</v>
      </c>
      <c r="C52" s="89"/>
      <c r="D52" s="89"/>
      <c r="E52" s="90"/>
      <c r="F52" s="90"/>
      <c r="G52" s="90"/>
      <c r="H52" s="91"/>
      <c r="I52" s="54"/>
      <c r="J52" s="92">
        <f>J36</f>
        <v>796879100</v>
      </c>
      <c r="K52" s="99"/>
      <c r="L52" s="54"/>
    </row>
    <row r="53" spans="1:13">
      <c r="B53" t="s">
        <v>104</v>
      </c>
      <c r="I53" s="54"/>
      <c r="J53" s="29">
        <f>-5%*(J17+J20+J23+J26)</f>
        <v>-31399500</v>
      </c>
      <c r="K53" s="100"/>
      <c r="L53" s="54"/>
    </row>
    <row r="54" spans="1:13">
      <c r="B54" t="s">
        <v>80</v>
      </c>
      <c r="I54" s="54"/>
      <c r="J54" s="28">
        <f>-K34-K35</f>
        <v>-113909100</v>
      </c>
      <c r="K54" s="28"/>
      <c r="L54" s="54"/>
    </row>
    <row r="55" spans="1:13">
      <c r="B55" t="s">
        <v>91</v>
      </c>
      <c r="I55" s="54"/>
      <c r="J55" s="28">
        <f>K37+K38+K5+K8+K11+K14+K42+K28+K29+K31+K32+(H35/2*0.21)+K43</f>
        <v>77420761.481344774</v>
      </c>
      <c r="K55" s="28"/>
      <c r="L55" s="54"/>
    </row>
    <row r="56" spans="1:13">
      <c r="B56" s="20" t="s">
        <v>7</v>
      </c>
      <c r="C56" s="21"/>
      <c r="D56" s="21"/>
      <c r="E56" s="22"/>
      <c r="F56" s="22"/>
      <c r="G56" s="22"/>
      <c r="H56" s="39"/>
      <c r="I56" s="54"/>
      <c r="J56" s="19">
        <f>SUM(J52:J55)</f>
        <v>728991261.48134482</v>
      </c>
      <c r="K56" s="98"/>
      <c r="L56" s="54"/>
    </row>
    <row r="57" spans="1:13">
      <c r="A57" s="47"/>
      <c r="B57" t="s">
        <v>13</v>
      </c>
      <c r="I57" s="54"/>
      <c r="J57" s="18">
        <f>J56-J51</f>
        <v>142622349.48134482</v>
      </c>
      <c r="K57" s="18"/>
      <c r="L57" s="54"/>
    </row>
    <row r="58" spans="1:13">
      <c r="A58" s="47"/>
      <c r="B58" t="s">
        <v>11</v>
      </c>
      <c r="I58" s="54"/>
      <c r="J58" s="29">
        <v>-3500000</v>
      </c>
      <c r="K58" s="100"/>
      <c r="L58" s="54"/>
    </row>
    <row r="59" spans="1:13" s="26" customFormat="1">
      <c r="B59" s="20" t="s">
        <v>8</v>
      </c>
      <c r="C59" s="21"/>
      <c r="D59" s="21"/>
      <c r="E59" s="22"/>
      <c r="F59" s="22"/>
      <c r="G59" s="22"/>
      <c r="H59" s="39"/>
      <c r="I59" s="54"/>
      <c r="J59" s="27">
        <f>SUM(J57:J58)</f>
        <v>139122349.48134482</v>
      </c>
      <c r="K59" s="101"/>
      <c r="L59" s="54"/>
    </row>
    <row r="60" spans="1:13">
      <c r="B60" s="23" t="s">
        <v>81</v>
      </c>
      <c r="I60" s="54"/>
      <c r="J60" s="24">
        <v>250000000</v>
      </c>
      <c r="K60" s="102"/>
      <c r="L60" s="54"/>
    </row>
    <row r="61" spans="1:13">
      <c r="B61" s="23" t="s">
        <v>96</v>
      </c>
      <c r="I61" s="54"/>
      <c r="J61" s="94">
        <f>J59/J60</f>
        <v>0.55648939792537933</v>
      </c>
      <c r="K61" s="95"/>
      <c r="L61" s="54"/>
    </row>
    <row r="62" spans="1:13">
      <c r="B62" s="23" t="s">
        <v>97</v>
      </c>
      <c r="C62" s="48"/>
      <c r="I62" s="54"/>
      <c r="J62" s="26"/>
      <c r="K62" s="26"/>
      <c r="L62" s="54"/>
    </row>
    <row r="63" spans="1:13">
      <c r="B63" s="23" t="s">
        <v>98</v>
      </c>
      <c r="C63" s="48"/>
      <c r="I63" s="54"/>
      <c r="J63" s="26"/>
      <c r="K63" s="26"/>
      <c r="L63" s="54"/>
    </row>
    <row r="64" spans="1:13">
      <c r="B64" s="23"/>
      <c r="C64" s="48"/>
      <c r="I64" s="54"/>
      <c r="J64" s="26"/>
      <c r="K64" s="26"/>
      <c r="L64" s="54"/>
    </row>
    <row r="65" spans="2:13">
      <c r="B65" s="51" t="s">
        <v>109</v>
      </c>
      <c r="C65" s="51"/>
      <c r="D65" s="51"/>
      <c r="E65" s="51"/>
      <c r="F65" s="51"/>
      <c r="G65" s="51"/>
      <c r="H65" s="34"/>
      <c r="I65" s="54"/>
      <c r="J65" s="26"/>
      <c r="K65" s="26"/>
      <c r="L65" s="18">
        <f>L39+L12+L30+L6+L9+L33+L50+L15+L43</f>
        <v>163325034</v>
      </c>
      <c r="M65" s="87">
        <f>L65*0.5</f>
        <v>81662517</v>
      </c>
    </row>
    <row r="66" spans="2:13">
      <c r="C66" s="26"/>
      <c r="D66" s="26"/>
      <c r="E66" s="26"/>
      <c r="F66" s="26"/>
      <c r="G66" s="25"/>
      <c r="H66" s="34"/>
      <c r="I66" s="57"/>
      <c r="J66" s="26"/>
      <c r="K66" s="26"/>
      <c r="L66" s="54"/>
    </row>
    <row r="67" spans="2:13" s="52" customFormat="1" ht="18">
      <c r="B67" s="67" t="s">
        <v>16</v>
      </c>
      <c r="C67" s="68"/>
      <c r="D67" s="43"/>
      <c r="E67" s="44"/>
      <c r="F67" s="43"/>
      <c r="G67" s="69" t="s">
        <v>17</v>
      </c>
      <c r="H67" s="70" t="s">
        <v>18</v>
      </c>
      <c r="I67" s="70"/>
      <c r="J67" s="68"/>
      <c r="K67" s="68"/>
      <c r="L67" s="54"/>
    </row>
    <row r="68" spans="2:13" s="62" customFormat="1" ht="18">
      <c r="B68" s="59" t="s">
        <v>20</v>
      </c>
      <c r="C68" s="59"/>
      <c r="D68" s="59"/>
      <c r="E68" s="59"/>
      <c r="F68" s="60"/>
      <c r="G68" s="108">
        <f>J68/J60</f>
        <v>0.41736704844403444</v>
      </c>
      <c r="H68" s="106">
        <f>G68/3.5</f>
        <v>0.11924772812686699</v>
      </c>
      <c r="I68" s="70"/>
      <c r="J68" s="105">
        <f>J59*0.75</f>
        <v>104341762.11100861</v>
      </c>
      <c r="K68" s="61"/>
      <c r="L68" s="54"/>
    </row>
    <row r="69" spans="2:13" ht="15.75">
      <c r="B69" s="42" t="s">
        <v>101</v>
      </c>
      <c r="C69" s="42"/>
      <c r="D69" s="42"/>
      <c r="E69" s="42"/>
      <c r="F69" s="58"/>
      <c r="G69" s="109"/>
      <c r="H69" s="110"/>
      <c r="I69" s="70"/>
      <c r="J69" s="45">
        <v>1900000</v>
      </c>
      <c r="K69" s="45"/>
      <c r="L69" s="54"/>
    </row>
    <row r="70" spans="2:13" ht="15.75">
      <c r="B70" s="42" t="s">
        <v>76</v>
      </c>
      <c r="C70" s="42"/>
      <c r="D70" s="42"/>
      <c r="E70" s="42"/>
      <c r="F70" s="42"/>
      <c r="G70" s="111"/>
      <c r="H70" s="112"/>
      <c r="I70" s="70"/>
      <c r="J70" s="46">
        <f>700000*25</f>
        <v>17500000</v>
      </c>
      <c r="K70" s="46"/>
      <c r="L70" s="54"/>
    </row>
    <row r="71" spans="2:13" ht="15.75">
      <c r="B71" s="42" t="s">
        <v>79</v>
      </c>
      <c r="C71" s="42"/>
      <c r="D71" s="42"/>
      <c r="E71" s="42"/>
      <c r="F71" s="42"/>
      <c r="G71" s="111"/>
      <c r="H71" s="112"/>
      <c r="I71" s="70"/>
      <c r="J71" s="46">
        <f>L65*25%</f>
        <v>40831258.5</v>
      </c>
      <c r="K71" s="46"/>
      <c r="L71" s="54"/>
    </row>
    <row r="72" spans="2:13" ht="15.75">
      <c r="B72" s="42" t="s">
        <v>75</v>
      </c>
      <c r="C72" s="42"/>
      <c r="D72" s="42"/>
      <c r="E72" s="42"/>
      <c r="F72" s="42"/>
      <c r="G72" s="111"/>
      <c r="H72" s="112"/>
      <c r="I72" s="70"/>
      <c r="J72" s="46">
        <v>9300000</v>
      </c>
      <c r="K72" s="46"/>
      <c r="L72" s="54"/>
    </row>
    <row r="73" spans="2:13" s="66" customFormat="1" ht="18">
      <c r="B73" s="63" t="s">
        <v>9</v>
      </c>
      <c r="C73" s="64"/>
      <c r="D73" s="64"/>
      <c r="E73" s="64"/>
      <c r="F73" s="64"/>
      <c r="G73" s="113">
        <f>J73/J60</f>
        <v>0.69549208244403449</v>
      </c>
      <c r="H73" s="114">
        <f>G73/3.5</f>
        <v>0.19871202355543843</v>
      </c>
      <c r="I73" s="70"/>
      <c r="J73" s="65">
        <f>SUM(J68:J72)</f>
        <v>173873020.61100861</v>
      </c>
      <c r="K73" s="103"/>
      <c r="L73" s="54"/>
    </row>
    <row r="74" spans="2:13">
      <c r="I74" s="50"/>
      <c r="J74" s="50"/>
      <c r="K74" s="50"/>
      <c r="L74" s="54"/>
    </row>
    <row r="75" spans="2:13" s="49" customFormat="1">
      <c r="B75"/>
      <c r="C75"/>
      <c r="D75"/>
      <c r="E75"/>
      <c r="F75"/>
      <c r="G75" s="1"/>
      <c r="H75" s="35"/>
      <c r="I75" s="50"/>
      <c r="J75" s="50"/>
      <c r="K75" s="50"/>
      <c r="L75" s="50"/>
    </row>
    <row r="76" spans="2:13" s="49" customFormat="1">
      <c r="B76"/>
      <c r="C76"/>
      <c r="D76"/>
      <c r="E76"/>
      <c r="F76"/>
      <c r="G76" s="1"/>
      <c r="H76" s="35"/>
      <c r="I76" s="50"/>
      <c r="J76" s="50"/>
      <c r="K76" s="50"/>
      <c r="L76" s="50"/>
    </row>
    <row r="77" spans="2:13" s="49" customFormat="1">
      <c r="B77"/>
      <c r="C77"/>
      <c r="D77"/>
      <c r="E77"/>
      <c r="F77"/>
      <c r="G77" s="1"/>
      <c r="H77" s="35"/>
      <c r="I77" s="50"/>
      <c r="J77" s="50"/>
      <c r="K77" s="50"/>
      <c r="L77" s="50"/>
    </row>
    <row r="78" spans="2:13" s="49" customFormat="1">
      <c r="B78"/>
      <c r="C78"/>
      <c r="D78"/>
      <c r="E78"/>
      <c r="F78"/>
      <c r="G78" s="1"/>
      <c r="H78" s="35"/>
      <c r="I78" s="50"/>
      <c r="J78" s="50"/>
      <c r="K78" s="50"/>
      <c r="L78" s="50"/>
    </row>
    <row r="79" spans="2:13" s="49" customFormat="1">
      <c r="B79"/>
      <c r="C79"/>
      <c r="D79"/>
      <c r="E79"/>
      <c r="F79"/>
      <c r="G79" s="1"/>
      <c r="H79" s="35"/>
      <c r="I79" s="50"/>
      <c r="J79" s="50"/>
      <c r="K79" s="50"/>
      <c r="L79" s="50"/>
    </row>
    <row r="80" spans="2:13" s="49" customFormat="1">
      <c r="B80"/>
      <c r="C80"/>
      <c r="D80"/>
      <c r="E80"/>
      <c r="F80"/>
      <c r="G80" s="1"/>
      <c r="H80" s="35"/>
      <c r="I80" s="50"/>
      <c r="J80" s="50"/>
      <c r="K80" s="50"/>
      <c r="L80" s="50"/>
    </row>
    <row r="81" spans="2:12" s="49" customFormat="1">
      <c r="B81"/>
      <c r="C81"/>
      <c r="D81"/>
      <c r="E81"/>
      <c r="F81"/>
      <c r="G81" s="1"/>
      <c r="H81" s="35"/>
      <c r="I81" s="50"/>
      <c r="J81" s="50"/>
      <c r="K81" s="50"/>
      <c r="L81" s="50"/>
    </row>
    <row r="82" spans="2:12">
      <c r="I82" s="50"/>
      <c r="J82" s="50"/>
      <c r="K82" s="50"/>
      <c r="L82" s="50"/>
    </row>
    <row r="83" spans="2:12">
      <c r="I83" s="50"/>
      <c r="J83" s="50"/>
      <c r="K83" s="50"/>
      <c r="L83" s="50"/>
    </row>
  </sheetData>
  <phoneticPr fontId="21" type="noConversion"/>
  <pageMargins left="0.23622047244094491" right="0.23622047244094491" top="0.35433070866141736" bottom="0.19685039370078741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1"/>
  <sheetViews>
    <sheetView topLeftCell="A49" zoomScale="90" zoomScaleNormal="90" workbookViewId="0">
      <selection activeCell="J67" sqref="J67"/>
    </sheetView>
  </sheetViews>
  <sheetFormatPr defaultColWidth="9.06640625" defaultRowHeight="14.25"/>
  <cols>
    <col min="1" max="1" width="2" customWidth="1"/>
    <col min="2" max="2" width="10.06640625" customWidth="1"/>
    <col min="5" max="5" width="15.86328125" customWidth="1"/>
    <col min="6" max="6" width="8.59765625" bestFit="1" customWidth="1"/>
    <col min="7" max="7" width="7.265625" style="1" bestFit="1" customWidth="1"/>
    <col min="8" max="8" width="11" style="35" bestFit="1" customWidth="1"/>
    <col min="9" max="9" width="10" bestFit="1" customWidth="1"/>
    <col min="10" max="10" width="15.33203125" bestFit="1" customWidth="1"/>
    <col min="11" max="11" width="11" bestFit="1" customWidth="1"/>
    <col min="12" max="12" width="12.1328125" bestFit="1" customWidth="1"/>
    <col min="13" max="13" width="21.1328125" customWidth="1"/>
    <col min="14" max="14" width="16" customWidth="1"/>
  </cols>
  <sheetData>
    <row r="1" spans="2:13" s="26" customFormat="1">
      <c r="B1" s="26" t="s">
        <v>21</v>
      </c>
      <c r="G1" s="25"/>
      <c r="H1" s="34"/>
    </row>
    <row r="2" spans="2:13">
      <c r="B2" t="s">
        <v>22</v>
      </c>
      <c r="D2" t="s">
        <v>60</v>
      </c>
    </row>
    <row r="3" spans="2:13" ht="15.75">
      <c r="B3" s="9" t="s">
        <v>12</v>
      </c>
      <c r="C3" s="10"/>
      <c r="D3" s="10"/>
      <c r="E3" s="11"/>
      <c r="F3" s="30" t="s">
        <v>3</v>
      </c>
      <c r="G3" s="12" t="s">
        <v>10</v>
      </c>
      <c r="H3" s="15" t="s">
        <v>0</v>
      </c>
      <c r="I3" s="41" t="s">
        <v>57</v>
      </c>
      <c r="J3" s="41" t="s">
        <v>84</v>
      </c>
      <c r="K3" s="41" t="s">
        <v>90</v>
      </c>
      <c r="L3" s="41" t="s">
        <v>15</v>
      </c>
      <c r="M3" s="41" t="s">
        <v>23</v>
      </c>
    </row>
    <row r="4" spans="2:13">
      <c r="B4" s="17" t="s">
        <v>61</v>
      </c>
      <c r="C4" s="3"/>
      <c r="D4" s="3"/>
      <c r="E4" s="4"/>
      <c r="F4" s="31">
        <v>17000</v>
      </c>
      <c r="G4" s="13">
        <v>1</v>
      </c>
      <c r="H4" s="36">
        <f>273*F4</f>
        <v>4641000</v>
      </c>
      <c r="I4" s="54"/>
      <c r="J4" s="28">
        <f>(H4+I4)*G4</f>
        <v>4641000</v>
      </c>
      <c r="K4" s="28">
        <f t="shared" ref="K4:K15" si="0">I4*G4</f>
        <v>0</v>
      </c>
      <c r="L4" s="54"/>
    </row>
    <row r="5" spans="2:13">
      <c r="B5" s="5" t="s">
        <v>82</v>
      </c>
      <c r="E5" s="6"/>
      <c r="F5" s="32">
        <f>F4*0.6</f>
        <v>10200</v>
      </c>
      <c r="G5" s="14">
        <v>1</v>
      </c>
      <c r="H5" s="37">
        <f>4000*F5</f>
        <v>40800000</v>
      </c>
      <c r="I5" s="54">
        <f>H5*21%</f>
        <v>8568000</v>
      </c>
      <c r="J5" s="28">
        <f t="shared" ref="J5:J38" si="1">(H5+I5)*G5</f>
        <v>49368000</v>
      </c>
      <c r="K5" s="28">
        <f t="shared" si="0"/>
        <v>8568000</v>
      </c>
      <c r="L5" s="54"/>
      <c r="M5" t="s">
        <v>56</v>
      </c>
    </row>
    <row r="6" spans="2:13">
      <c r="B6" s="16" t="s">
        <v>2</v>
      </c>
      <c r="D6" s="8"/>
      <c r="E6" s="8"/>
      <c r="F6" s="8"/>
      <c r="G6" s="8"/>
      <c r="H6" s="38"/>
      <c r="I6" s="55"/>
      <c r="J6" s="28"/>
      <c r="K6" s="28">
        <f t="shared" si="0"/>
        <v>0</v>
      </c>
      <c r="L6" s="56">
        <f>J4+J5</f>
        <v>54009000</v>
      </c>
      <c r="M6" t="s">
        <v>19</v>
      </c>
    </row>
    <row r="7" spans="2:13">
      <c r="B7" s="17" t="s">
        <v>61</v>
      </c>
      <c r="C7" s="3"/>
      <c r="D7" s="3"/>
      <c r="E7" s="4"/>
      <c r="F7" s="31">
        <v>2000</v>
      </c>
      <c r="G7" s="13">
        <v>1</v>
      </c>
      <c r="H7" s="36">
        <f>273*F7</f>
        <v>546000</v>
      </c>
      <c r="I7" s="54"/>
      <c r="J7" s="28">
        <f t="shared" si="1"/>
        <v>546000</v>
      </c>
      <c r="K7" s="28">
        <f t="shared" si="0"/>
        <v>0</v>
      </c>
      <c r="L7" s="54"/>
    </row>
    <row r="8" spans="2:13">
      <c r="B8" s="5" t="s">
        <v>78</v>
      </c>
      <c r="E8" s="6"/>
      <c r="F8" s="32">
        <f>F7*0.6</f>
        <v>1200</v>
      </c>
      <c r="G8" s="14">
        <v>1</v>
      </c>
      <c r="H8" s="37">
        <f>1200*F8</f>
        <v>1440000</v>
      </c>
      <c r="I8" s="54">
        <f>H8*21%</f>
        <v>302400</v>
      </c>
      <c r="J8" s="28">
        <f t="shared" si="1"/>
        <v>1742400</v>
      </c>
      <c r="K8" s="28">
        <f t="shared" si="0"/>
        <v>302400</v>
      </c>
      <c r="L8" s="54"/>
      <c r="M8" t="s">
        <v>56</v>
      </c>
    </row>
    <row r="9" spans="2:13">
      <c r="B9" s="16" t="s">
        <v>2</v>
      </c>
      <c r="D9" s="8"/>
      <c r="E9" s="8"/>
      <c r="F9" s="8"/>
      <c r="G9" s="8"/>
      <c r="H9" s="38"/>
      <c r="I9" s="55"/>
      <c r="J9" s="28">
        <f t="shared" si="1"/>
        <v>0</v>
      </c>
      <c r="K9" s="28">
        <f t="shared" si="0"/>
        <v>0</v>
      </c>
      <c r="L9" s="56">
        <f>J7+J8</f>
        <v>2288400</v>
      </c>
      <c r="M9" t="s">
        <v>19</v>
      </c>
    </row>
    <row r="10" spans="2:13">
      <c r="B10" s="17" t="s">
        <v>67</v>
      </c>
      <c r="C10" s="3"/>
      <c r="D10" s="3"/>
      <c r="E10" s="4"/>
      <c r="F10" s="31">
        <v>17000</v>
      </c>
      <c r="G10" s="13">
        <v>1</v>
      </c>
      <c r="H10" s="36">
        <f>273*F10</f>
        <v>4641000</v>
      </c>
      <c r="I10" s="54"/>
      <c r="J10" s="28">
        <f>(H10+I10)*G10</f>
        <v>4641000</v>
      </c>
      <c r="K10" s="28">
        <f t="shared" si="0"/>
        <v>0</v>
      </c>
      <c r="L10" s="54"/>
    </row>
    <row r="11" spans="2:13">
      <c r="B11" s="5" t="s">
        <v>83</v>
      </c>
      <c r="E11" s="6"/>
      <c r="F11" s="32">
        <f>F10*0.6</f>
        <v>10200</v>
      </c>
      <c r="G11" s="14">
        <v>1</v>
      </c>
      <c r="H11" s="37">
        <f>3000*F11</f>
        <v>30600000</v>
      </c>
      <c r="I11" s="54">
        <f>H11*21%</f>
        <v>6426000</v>
      </c>
      <c r="J11" s="28">
        <f>(H11+I11)*G11</f>
        <v>37026000</v>
      </c>
      <c r="K11" s="28">
        <f t="shared" si="0"/>
        <v>6426000</v>
      </c>
      <c r="L11" s="54"/>
      <c r="M11" t="s">
        <v>56</v>
      </c>
    </row>
    <row r="12" spans="2:13">
      <c r="B12" s="16" t="s">
        <v>2</v>
      </c>
      <c r="D12" s="8"/>
      <c r="E12" s="8"/>
      <c r="F12" s="8"/>
      <c r="G12" s="8"/>
      <c r="H12" s="38"/>
      <c r="I12" s="55"/>
      <c r="J12" s="28">
        <f>(H12+I12)*G12</f>
        <v>0</v>
      </c>
      <c r="K12" s="28">
        <f t="shared" si="0"/>
        <v>0</v>
      </c>
      <c r="L12" s="56">
        <f>J10+J11</f>
        <v>41667000</v>
      </c>
      <c r="M12" t="s">
        <v>19</v>
      </c>
    </row>
    <row r="13" spans="2:13">
      <c r="B13" s="17" t="s">
        <v>61</v>
      </c>
      <c r="C13" s="3"/>
      <c r="D13" s="3"/>
      <c r="E13" s="4"/>
      <c r="F13" s="31">
        <v>2000</v>
      </c>
      <c r="G13" s="13">
        <v>1</v>
      </c>
      <c r="H13" s="36">
        <f>273*F13</f>
        <v>546000</v>
      </c>
      <c r="I13" s="54"/>
      <c r="J13" s="28">
        <f t="shared" ref="J13:J15" si="2">(H13+I13)*G13</f>
        <v>546000</v>
      </c>
      <c r="K13" s="28">
        <f t="shared" si="0"/>
        <v>0</v>
      </c>
      <c r="L13" s="54"/>
    </row>
    <row r="14" spans="2:13">
      <c r="B14" s="5" t="s">
        <v>93</v>
      </c>
      <c r="E14" s="6"/>
      <c r="F14" s="32">
        <f>F13*0.6</f>
        <v>1200</v>
      </c>
      <c r="G14" s="14">
        <v>1</v>
      </c>
      <c r="H14" s="37">
        <f>1200*F14</f>
        <v>1440000</v>
      </c>
      <c r="I14" s="54">
        <f>H14*21%</f>
        <v>302400</v>
      </c>
      <c r="J14" s="28">
        <f t="shared" si="2"/>
        <v>1742400</v>
      </c>
      <c r="K14" s="28">
        <f t="shared" si="0"/>
        <v>302400</v>
      </c>
      <c r="L14" s="54"/>
      <c r="M14" t="s">
        <v>56</v>
      </c>
    </row>
    <row r="15" spans="2:13">
      <c r="B15" s="16" t="s">
        <v>2</v>
      </c>
      <c r="D15" s="8"/>
      <c r="E15" s="8"/>
      <c r="F15" s="8"/>
      <c r="G15" s="8"/>
      <c r="H15" s="38"/>
      <c r="I15" s="55"/>
      <c r="J15" s="28">
        <f t="shared" si="2"/>
        <v>0</v>
      </c>
      <c r="K15" s="28">
        <f t="shared" si="0"/>
        <v>0</v>
      </c>
      <c r="L15" s="56">
        <f>J13+J14</f>
        <v>2288400</v>
      </c>
      <c r="M15" t="s">
        <v>19</v>
      </c>
    </row>
    <row r="16" spans="2:13">
      <c r="B16" s="17" t="s">
        <v>62</v>
      </c>
      <c r="C16" s="3"/>
      <c r="D16" s="3"/>
      <c r="E16" s="4"/>
      <c r="F16" s="31">
        <v>5000</v>
      </c>
      <c r="G16" s="13">
        <v>5</v>
      </c>
      <c r="H16" s="36">
        <f>900*F16</f>
        <v>4500000</v>
      </c>
      <c r="I16" s="54">
        <f>H16*3%</f>
        <v>135000</v>
      </c>
      <c r="J16" s="28">
        <f t="shared" si="1"/>
        <v>23175000</v>
      </c>
      <c r="K16" s="28">
        <f>I16*G16</f>
        <v>675000</v>
      </c>
      <c r="L16" s="54"/>
    </row>
    <row r="17" spans="2:13">
      <c r="B17" s="5" t="s">
        <v>63</v>
      </c>
      <c r="E17" s="6"/>
      <c r="F17" s="32">
        <f>F16*0.3</f>
        <v>1500</v>
      </c>
      <c r="G17" s="13">
        <v>5</v>
      </c>
      <c r="H17" s="37">
        <f>9000*F17</f>
        <v>13500000</v>
      </c>
      <c r="I17" s="54">
        <f>H17*21%</f>
        <v>2835000</v>
      </c>
      <c r="J17" s="28">
        <f t="shared" si="1"/>
        <v>81675000</v>
      </c>
      <c r="K17" s="28">
        <f t="shared" ref="K17:K30" si="3">I17*G17</f>
        <v>14175000</v>
      </c>
      <c r="L17" s="54"/>
    </row>
    <row r="18" spans="2:13">
      <c r="B18" s="16" t="s">
        <v>85</v>
      </c>
      <c r="D18" s="8"/>
      <c r="E18" s="8"/>
      <c r="F18" s="8"/>
      <c r="G18" s="8"/>
      <c r="H18" s="97">
        <f>SUM(H16:H17)</f>
        <v>18000000</v>
      </c>
      <c r="I18" s="97">
        <f>SUM(I16:I17)</f>
        <v>2970000</v>
      </c>
      <c r="J18" s="28">
        <f>SUM(H18:I18)</f>
        <v>20970000</v>
      </c>
      <c r="K18" s="28">
        <f t="shared" si="3"/>
        <v>0</v>
      </c>
      <c r="L18" s="55"/>
    </row>
    <row r="19" spans="2:13">
      <c r="B19" s="17" t="s">
        <v>61</v>
      </c>
      <c r="C19" s="3"/>
      <c r="D19" s="3"/>
      <c r="E19" s="4"/>
      <c r="F19" s="31">
        <v>4300</v>
      </c>
      <c r="G19" s="13">
        <v>9</v>
      </c>
      <c r="H19" s="36">
        <f>1200*F19</f>
        <v>5160000</v>
      </c>
      <c r="I19" s="54">
        <f>H19*3%</f>
        <v>154800</v>
      </c>
      <c r="J19" s="28">
        <f t="shared" si="1"/>
        <v>47833200</v>
      </c>
      <c r="K19" s="28">
        <f t="shared" si="3"/>
        <v>1393200</v>
      </c>
      <c r="L19" s="54"/>
    </row>
    <row r="20" spans="2:13">
      <c r="B20" s="5" t="s">
        <v>74</v>
      </c>
      <c r="E20" s="6"/>
      <c r="F20" s="32">
        <f>F19*0.3</f>
        <v>1290</v>
      </c>
      <c r="G20" s="13">
        <v>9</v>
      </c>
      <c r="H20" s="37">
        <f>10000*F20</f>
        <v>12900000</v>
      </c>
      <c r="I20" s="54">
        <f>H20*21%</f>
        <v>2709000</v>
      </c>
      <c r="J20" s="28">
        <f t="shared" si="1"/>
        <v>140481000</v>
      </c>
      <c r="K20" s="28">
        <f t="shared" si="3"/>
        <v>24381000</v>
      </c>
      <c r="L20" s="54"/>
    </row>
    <row r="21" spans="2:13">
      <c r="B21" s="16" t="s">
        <v>85</v>
      </c>
      <c r="D21" s="8"/>
      <c r="E21" s="8"/>
      <c r="F21" s="8"/>
      <c r="G21" s="8"/>
      <c r="H21" s="97">
        <f>SUM(H19:H20)</f>
        <v>18060000</v>
      </c>
      <c r="I21" s="97">
        <f>SUM(I19:I20)</f>
        <v>2863800</v>
      </c>
      <c r="J21" s="28">
        <f>SUM(H21:I21)</f>
        <v>20923800</v>
      </c>
      <c r="K21" s="28">
        <f t="shared" si="3"/>
        <v>0</v>
      </c>
      <c r="L21" s="55"/>
    </row>
    <row r="22" spans="2:13">
      <c r="B22" s="17" t="s">
        <v>62</v>
      </c>
      <c r="C22" s="3"/>
      <c r="D22" s="3"/>
      <c r="E22" s="4"/>
      <c r="F22" s="31">
        <v>4300</v>
      </c>
      <c r="G22" s="13">
        <v>13</v>
      </c>
      <c r="H22" s="36">
        <f>900*F22</f>
        <v>3870000</v>
      </c>
      <c r="I22" s="54">
        <f>H22*3%</f>
        <v>116100</v>
      </c>
      <c r="J22" s="28">
        <f t="shared" si="1"/>
        <v>51819300</v>
      </c>
      <c r="K22" s="28">
        <f t="shared" si="3"/>
        <v>1509300</v>
      </c>
      <c r="L22" s="54"/>
    </row>
    <row r="23" spans="2:13">
      <c r="B23" s="5" t="s">
        <v>64</v>
      </c>
      <c r="E23" s="6"/>
      <c r="F23" s="32">
        <f>F22*0.3</f>
        <v>1290</v>
      </c>
      <c r="G23" s="13">
        <v>13</v>
      </c>
      <c r="H23" s="37">
        <f>10000*F23</f>
        <v>12900000</v>
      </c>
      <c r="I23" s="54">
        <f>H23*21%</f>
        <v>2709000</v>
      </c>
      <c r="J23" s="28">
        <f t="shared" si="1"/>
        <v>202917000</v>
      </c>
      <c r="K23" s="28">
        <f t="shared" si="3"/>
        <v>35217000</v>
      </c>
      <c r="L23" s="54"/>
    </row>
    <row r="24" spans="2:13">
      <c r="B24" s="16" t="s">
        <v>85</v>
      </c>
      <c r="D24" s="8"/>
      <c r="E24" s="8"/>
      <c r="F24" s="8"/>
      <c r="G24" s="8"/>
      <c r="H24" s="97">
        <f>SUM(H22:H23)</f>
        <v>16770000</v>
      </c>
      <c r="I24" s="97">
        <f>SUM(I22:I23)</f>
        <v>2825100</v>
      </c>
      <c r="J24" s="28">
        <f>SUM(H24:I24)</f>
        <v>19595100</v>
      </c>
      <c r="K24" s="28">
        <f t="shared" si="3"/>
        <v>0</v>
      </c>
      <c r="L24" s="55"/>
    </row>
    <row r="25" spans="2:13">
      <c r="B25" s="17" t="s">
        <v>62</v>
      </c>
      <c r="C25" s="3"/>
      <c r="D25" s="3"/>
      <c r="E25" s="4"/>
      <c r="F25" s="31">
        <v>4300</v>
      </c>
      <c r="G25" s="13">
        <v>13</v>
      </c>
      <c r="H25" s="36">
        <f>800*F25</f>
        <v>3440000</v>
      </c>
      <c r="I25" s="54">
        <f>H25*3%</f>
        <v>103200</v>
      </c>
      <c r="J25" s="28">
        <f t="shared" si="1"/>
        <v>46061600</v>
      </c>
      <c r="K25" s="28">
        <f t="shared" si="3"/>
        <v>1341600</v>
      </c>
      <c r="L25" s="54"/>
    </row>
    <row r="26" spans="2:13">
      <c r="B26" s="5" t="s">
        <v>65</v>
      </c>
      <c r="E26" s="6"/>
      <c r="F26" s="32">
        <f>F25*0.3</f>
        <v>1290</v>
      </c>
      <c r="G26" s="13">
        <v>13</v>
      </c>
      <c r="H26" s="37">
        <f>10000*F26</f>
        <v>12900000</v>
      </c>
      <c r="I26" s="54">
        <f>H26*21%</f>
        <v>2709000</v>
      </c>
      <c r="J26" s="28">
        <f t="shared" si="1"/>
        <v>202917000</v>
      </c>
      <c r="K26" s="28">
        <f t="shared" si="3"/>
        <v>35217000</v>
      </c>
      <c r="L26" s="54"/>
    </row>
    <row r="27" spans="2:13">
      <c r="B27" s="16" t="s">
        <v>85</v>
      </c>
      <c r="D27" s="8"/>
      <c r="E27" s="8"/>
      <c r="F27" s="8"/>
      <c r="G27" s="8"/>
      <c r="H27" s="97">
        <f>SUM(H25:H26)</f>
        <v>16340000</v>
      </c>
      <c r="I27" s="97">
        <f>SUM(I25:I26)</f>
        <v>2812200</v>
      </c>
      <c r="J27" s="28">
        <f>SUM(H27:I27)</f>
        <v>19152200</v>
      </c>
      <c r="K27" s="28">
        <f t="shared" si="3"/>
        <v>0</v>
      </c>
      <c r="L27" s="55"/>
    </row>
    <row r="28" spans="2:13">
      <c r="B28" s="17" t="s">
        <v>62</v>
      </c>
      <c r="C28" s="3"/>
      <c r="D28" s="3"/>
      <c r="E28" s="4"/>
      <c r="F28" s="31">
        <v>2150</v>
      </c>
      <c r="G28" s="13">
        <v>2</v>
      </c>
      <c r="H28" s="36">
        <f>273*F28</f>
        <v>586950</v>
      </c>
      <c r="I28" s="54">
        <f>H28*3%</f>
        <v>17608.5</v>
      </c>
      <c r="J28" s="28">
        <f t="shared" si="1"/>
        <v>1209117</v>
      </c>
      <c r="K28" s="28">
        <f t="shared" si="3"/>
        <v>35217</v>
      </c>
      <c r="L28" s="54"/>
    </row>
    <row r="29" spans="2:13">
      <c r="B29" s="5" t="s">
        <v>92</v>
      </c>
      <c r="E29" s="6"/>
      <c r="F29" s="32">
        <f>F28*0.3</f>
        <v>645</v>
      </c>
      <c r="G29" s="14">
        <v>2</v>
      </c>
      <c r="H29" s="37">
        <f>5000*F29</f>
        <v>3225000</v>
      </c>
      <c r="I29" s="54">
        <f>H29*21%</f>
        <v>677250</v>
      </c>
      <c r="J29" s="28">
        <f t="shared" si="1"/>
        <v>7804500</v>
      </c>
      <c r="K29" s="28">
        <f t="shared" si="3"/>
        <v>1354500</v>
      </c>
      <c r="L29" s="54"/>
    </row>
    <row r="30" spans="2:13">
      <c r="B30" s="16" t="s">
        <v>85</v>
      </c>
      <c r="D30" s="8"/>
      <c r="E30" s="8"/>
      <c r="F30" s="8"/>
      <c r="G30" s="8"/>
      <c r="H30" s="97">
        <f>SUM(H28:H29)</f>
        <v>3811950</v>
      </c>
      <c r="I30" s="97">
        <f>SUM(I28:I29)</f>
        <v>694858.5</v>
      </c>
      <c r="J30" s="28">
        <f>SUM(H30:I30)</f>
        <v>4506808.5</v>
      </c>
      <c r="K30" s="28">
        <f t="shared" si="3"/>
        <v>0</v>
      </c>
      <c r="L30" s="55">
        <f>J30*G29</f>
        <v>9013617</v>
      </c>
      <c r="M30" t="s">
        <v>19</v>
      </c>
    </row>
    <row r="31" spans="2:13">
      <c r="B31" s="17" t="s">
        <v>62</v>
      </c>
      <c r="C31" s="3"/>
      <c r="D31" s="3"/>
      <c r="E31" s="4"/>
      <c r="F31" s="31">
        <v>4300</v>
      </c>
      <c r="G31" s="13">
        <v>1</v>
      </c>
      <c r="H31" s="36">
        <f>800*F31</f>
        <v>3440000</v>
      </c>
      <c r="I31" s="54">
        <f>H31*3%</f>
        <v>103200</v>
      </c>
      <c r="J31" s="28">
        <f t="shared" ref="J31:J32" si="4">(H31+I31)*G31</f>
        <v>3543200</v>
      </c>
      <c r="K31" s="28">
        <f t="shared" ref="K31:K33" si="5">I31*G31</f>
        <v>103200</v>
      </c>
      <c r="L31" s="54"/>
    </row>
    <row r="32" spans="2:13">
      <c r="B32" s="5" t="s">
        <v>100</v>
      </c>
      <c r="E32" s="6"/>
      <c r="F32" s="32">
        <v>1290</v>
      </c>
      <c r="G32" s="14">
        <v>1</v>
      </c>
      <c r="H32" s="37">
        <f>10000*F32</f>
        <v>12900000</v>
      </c>
      <c r="I32" s="54">
        <f>H32*21%</f>
        <v>2709000</v>
      </c>
      <c r="J32" s="28">
        <f t="shared" si="4"/>
        <v>15609000</v>
      </c>
      <c r="K32" s="28">
        <f t="shared" si="5"/>
        <v>2709000</v>
      </c>
      <c r="L32" s="54"/>
    </row>
    <row r="33" spans="2:13">
      <c r="B33" s="16" t="s">
        <v>85</v>
      </c>
      <c r="D33" s="8"/>
      <c r="E33" s="8"/>
      <c r="F33" s="8"/>
      <c r="G33" s="8"/>
      <c r="H33" s="97">
        <f>SUM(H31:H32)</f>
        <v>16340000</v>
      </c>
      <c r="I33" s="97">
        <f>SUM(I31:I32)</f>
        <v>2812200</v>
      </c>
      <c r="J33" s="28">
        <f>SUM(H33:I33)</f>
        <v>19152200</v>
      </c>
      <c r="K33" s="28">
        <f t="shared" si="5"/>
        <v>0</v>
      </c>
      <c r="L33" s="55"/>
    </row>
    <row r="34" spans="2:13" ht="15.75">
      <c r="B34" t="s">
        <v>66</v>
      </c>
      <c r="E34" s="107" t="s">
        <v>112</v>
      </c>
      <c r="F34" s="33">
        <f>(F25*G25)+(F22*G22)+(F19*G19)+(F16*G16)+(F31*G31)</f>
        <v>179800</v>
      </c>
      <c r="G34" s="33"/>
      <c r="H34" s="33">
        <f>(H25*G25)+(H22*G22)+(H19*G19)+(H16*G16)+H31</f>
        <v>167410000</v>
      </c>
      <c r="I34" s="33"/>
      <c r="J34" s="33">
        <f>J25+J22+J19+J16+J31</f>
        <v>172432300</v>
      </c>
      <c r="K34" s="33">
        <f>K25+K22+K19+K16+K31</f>
        <v>5022300</v>
      </c>
      <c r="L34" s="86"/>
      <c r="M34" t="s">
        <v>56</v>
      </c>
    </row>
    <row r="35" spans="2:13">
      <c r="B35" t="s">
        <v>86</v>
      </c>
      <c r="E35" s="107" t="s">
        <v>73</v>
      </c>
      <c r="F35" s="33">
        <f>(F26*G26)+(F23*G23)+(F20*G20)+(F17*G17)+(F32*G32)</f>
        <v>53940</v>
      </c>
      <c r="G35" s="33"/>
      <c r="H35" s="33">
        <f>(H26*G26)+(H23*G23)+(H20*G20)+(H17*G17)+H32</f>
        <v>531900000</v>
      </c>
      <c r="I35" s="33"/>
      <c r="J35" s="33">
        <f>J26+J23+J20+J17+J32</f>
        <v>643599000</v>
      </c>
      <c r="K35" s="33">
        <f>K26+K23+K20+K17+K32</f>
        <v>111699000</v>
      </c>
      <c r="L35" s="54"/>
      <c r="M35" t="s">
        <v>56</v>
      </c>
    </row>
    <row r="36" spans="2:13">
      <c r="B36" s="20" t="s">
        <v>68</v>
      </c>
      <c r="C36" s="21"/>
      <c r="D36" s="21"/>
      <c r="E36" s="21"/>
      <c r="F36" s="22"/>
      <c r="G36" s="93">
        <f>G32+G26+G23+G20+G17</f>
        <v>41</v>
      </c>
      <c r="H36" s="39"/>
      <c r="I36" s="54"/>
      <c r="J36" s="28">
        <f>SUM(J34:J35)</f>
        <v>816031300</v>
      </c>
      <c r="K36" s="28"/>
      <c r="L36" s="54"/>
      <c r="M36" s="50"/>
    </row>
    <row r="37" spans="2:13">
      <c r="B37" s="17" t="s">
        <v>77</v>
      </c>
      <c r="C37" s="3"/>
      <c r="D37" s="3"/>
      <c r="E37" s="4"/>
      <c r="F37" s="31">
        <v>100000</v>
      </c>
      <c r="G37" s="13">
        <v>1</v>
      </c>
      <c r="H37" s="36">
        <v>1000000</v>
      </c>
      <c r="I37" s="54">
        <f>H37*3%</f>
        <v>30000</v>
      </c>
      <c r="J37" s="28">
        <f t="shared" si="1"/>
        <v>1030000</v>
      </c>
      <c r="K37" s="28">
        <v>30000</v>
      </c>
      <c r="L37" s="54"/>
      <c r="M37" t="s">
        <v>88</v>
      </c>
    </row>
    <row r="38" spans="2:13">
      <c r="B38" s="5" t="s">
        <v>14</v>
      </c>
      <c r="E38" s="6"/>
      <c r="F38" s="32"/>
      <c r="G38" s="14">
        <v>1</v>
      </c>
      <c r="H38" s="37">
        <v>500000</v>
      </c>
      <c r="I38" s="54">
        <f>H38*3%</f>
        <v>15000</v>
      </c>
      <c r="J38" s="28">
        <f t="shared" si="1"/>
        <v>515000</v>
      </c>
      <c r="K38" s="28">
        <v>15000</v>
      </c>
      <c r="L38" s="54"/>
      <c r="M38" t="s">
        <v>88</v>
      </c>
    </row>
    <row r="39" spans="2:13">
      <c r="B39" s="7" t="s">
        <v>2</v>
      </c>
      <c r="C39" s="8"/>
      <c r="D39" s="8"/>
      <c r="E39" s="8"/>
      <c r="F39" s="8"/>
      <c r="G39" s="8"/>
      <c r="H39" s="38"/>
      <c r="I39" s="54"/>
      <c r="J39" s="28">
        <f>SUM(J37:J38)</f>
        <v>1545000</v>
      </c>
      <c r="K39" s="28"/>
      <c r="L39" s="56">
        <f>J37+J38</f>
        <v>1545000</v>
      </c>
      <c r="M39" t="s">
        <v>19</v>
      </c>
    </row>
    <row r="40" spans="2:13">
      <c r="B40" s="20" t="s">
        <v>89</v>
      </c>
      <c r="C40" s="21"/>
      <c r="D40" s="21"/>
      <c r="E40" s="22"/>
      <c r="F40" s="22"/>
      <c r="G40" s="22"/>
      <c r="H40" s="39"/>
      <c r="I40" s="54"/>
      <c r="J40" s="19">
        <f>J12+J39+I37+I10</f>
        <v>1575000</v>
      </c>
      <c r="K40" s="98"/>
      <c r="L40" s="54"/>
    </row>
    <row r="41" spans="2:13">
      <c r="B41" t="s">
        <v>69</v>
      </c>
      <c r="G41" s="2"/>
      <c r="I41" s="54"/>
      <c r="J41" s="28">
        <f>J39+J11+J29+J8+J5+J14+H35/2*1.21</f>
        <v>421027800</v>
      </c>
      <c r="K41" s="28"/>
      <c r="L41" s="54"/>
    </row>
    <row r="42" spans="2:13">
      <c r="B42" t="s">
        <v>70</v>
      </c>
      <c r="G42" s="2"/>
      <c r="I42" s="54"/>
      <c r="J42" s="28">
        <v>95000000</v>
      </c>
      <c r="K42" s="28">
        <f>J42-J42/1.03</f>
        <v>2766990.2912621349</v>
      </c>
      <c r="L42" s="54"/>
      <c r="M42" t="s">
        <v>88</v>
      </c>
    </row>
    <row r="43" spans="2:13">
      <c r="B43" t="s">
        <v>107</v>
      </c>
      <c r="G43" s="2"/>
      <c r="I43" s="54"/>
      <c r="J43" s="28">
        <v>10000000</v>
      </c>
      <c r="K43" s="28">
        <f>J43-J43/1.21</f>
        <v>1735537.1900826441</v>
      </c>
      <c r="L43" s="55">
        <v>10000000</v>
      </c>
      <c r="M43" t="s">
        <v>108</v>
      </c>
    </row>
    <row r="44" spans="2:13">
      <c r="B44" s="96" t="s">
        <v>113</v>
      </c>
      <c r="G44" s="40"/>
      <c r="I44" s="54"/>
      <c r="J44" s="28">
        <f>J41*4%</f>
        <v>16841112</v>
      </c>
      <c r="K44" s="28"/>
      <c r="L44" s="54"/>
    </row>
    <row r="45" spans="2:13">
      <c r="B45" t="s">
        <v>4</v>
      </c>
      <c r="G45" s="104">
        <v>0.04</v>
      </c>
      <c r="I45" s="54"/>
      <c r="J45" s="28">
        <f>J60*G45</f>
        <v>10000000</v>
      </c>
      <c r="K45" s="28"/>
      <c r="L45" s="54"/>
    </row>
    <row r="46" spans="2:13">
      <c r="B46" s="20" t="s">
        <v>58</v>
      </c>
      <c r="C46" s="21"/>
      <c r="D46" s="21"/>
      <c r="E46" s="22"/>
      <c r="F46" s="22"/>
      <c r="G46" s="22"/>
      <c r="H46" s="39"/>
      <c r="I46" s="54"/>
      <c r="J46" s="19">
        <f>J42+J44+J45+J41+J43</f>
        <v>552868912</v>
      </c>
      <c r="K46" s="98"/>
      <c r="L46" s="54"/>
    </row>
    <row r="47" spans="2:13">
      <c r="B47" t="s">
        <v>1</v>
      </c>
      <c r="C47" t="s">
        <v>94</v>
      </c>
      <c r="I47" s="54"/>
      <c r="J47" s="53">
        <v>4500000</v>
      </c>
      <c r="K47" s="53"/>
      <c r="L47" s="54"/>
      <c r="M47" t="s">
        <v>56</v>
      </c>
    </row>
    <row r="48" spans="2:13">
      <c r="C48" t="s">
        <v>95</v>
      </c>
      <c r="I48" s="54"/>
      <c r="J48" s="28">
        <v>12000000</v>
      </c>
      <c r="K48" s="28"/>
      <c r="L48" s="54"/>
      <c r="M48" t="s">
        <v>56</v>
      </c>
    </row>
    <row r="49" spans="1:13">
      <c r="C49" t="s">
        <v>5</v>
      </c>
      <c r="I49" s="54"/>
      <c r="J49" s="28">
        <v>17000000</v>
      </c>
      <c r="K49" s="28"/>
      <c r="L49" s="54"/>
    </row>
    <row r="50" spans="1:13">
      <c r="C50" s="26" t="s">
        <v>6</v>
      </c>
      <c r="I50" s="54"/>
      <c r="J50" s="18">
        <f>SUM(J47:J49)</f>
        <v>33500000</v>
      </c>
      <c r="K50" s="18"/>
      <c r="L50" s="56">
        <f>J50+I48</f>
        <v>33500000</v>
      </c>
      <c r="M50" t="s">
        <v>19</v>
      </c>
    </row>
    <row r="51" spans="1:13">
      <c r="B51" s="20" t="s">
        <v>71</v>
      </c>
      <c r="C51" s="21"/>
      <c r="D51" s="21"/>
      <c r="E51" s="22"/>
      <c r="F51" s="22"/>
      <c r="G51" s="22"/>
      <c r="H51" s="39"/>
      <c r="I51" s="54"/>
      <c r="J51" s="19">
        <f>J50+J46</f>
        <v>586368912</v>
      </c>
      <c r="K51" s="98"/>
      <c r="L51" s="54"/>
    </row>
    <row r="52" spans="1:13">
      <c r="B52" s="88" t="s">
        <v>68</v>
      </c>
      <c r="C52" s="89"/>
      <c r="D52" s="89"/>
      <c r="E52" s="90"/>
      <c r="F52" s="90"/>
      <c r="G52" s="90"/>
      <c r="H52" s="91"/>
      <c r="I52" s="54"/>
      <c r="J52" s="92">
        <f>J36</f>
        <v>816031300</v>
      </c>
      <c r="K52" s="99"/>
      <c r="L52" s="54"/>
    </row>
    <row r="53" spans="1:13">
      <c r="B53" t="s">
        <v>105</v>
      </c>
      <c r="I53" s="54"/>
      <c r="J53" s="29">
        <f>-5%*(J17+J20+J23+J26+J32)</f>
        <v>-32179950</v>
      </c>
      <c r="K53" s="100"/>
      <c r="L53" s="54"/>
    </row>
    <row r="54" spans="1:13">
      <c r="B54" t="s">
        <v>80</v>
      </c>
      <c r="I54" s="54"/>
      <c r="J54" s="28">
        <f>-K34-K35</f>
        <v>-116721300</v>
      </c>
      <c r="K54" s="28"/>
      <c r="L54" s="54"/>
    </row>
    <row r="55" spans="1:13">
      <c r="B55" t="s">
        <v>91</v>
      </c>
      <c r="I55" s="54"/>
      <c r="J55" s="28">
        <f>K37+K38+K5+K8+K11+K14+K42+K28+K29+(H35/2*0.21)+K43</f>
        <v>77385544.481344774</v>
      </c>
      <c r="K55" s="28"/>
      <c r="L55" s="54"/>
    </row>
    <row r="56" spans="1:13">
      <c r="B56" s="20" t="s">
        <v>7</v>
      </c>
      <c r="C56" s="21"/>
      <c r="D56" s="21"/>
      <c r="E56" s="22"/>
      <c r="F56" s="22"/>
      <c r="G56" s="22"/>
      <c r="H56" s="39"/>
      <c r="I56" s="54"/>
      <c r="J56" s="19">
        <f>SUM(J52:J55)</f>
        <v>744515594.48134482</v>
      </c>
      <c r="K56" s="98"/>
      <c r="L56" s="54"/>
    </row>
    <row r="57" spans="1:13">
      <c r="A57" s="47"/>
      <c r="B57" t="s">
        <v>13</v>
      </c>
      <c r="I57" s="54"/>
      <c r="J57" s="18">
        <f>J56-J51</f>
        <v>158146682.48134482</v>
      </c>
      <c r="K57" s="18"/>
      <c r="L57" s="54"/>
    </row>
    <row r="58" spans="1:13">
      <c r="A58" s="47"/>
      <c r="B58" t="s">
        <v>11</v>
      </c>
      <c r="I58" s="54"/>
      <c r="J58" s="29">
        <v>-3500000</v>
      </c>
      <c r="K58" s="100"/>
      <c r="L58" s="54"/>
    </row>
    <row r="59" spans="1:13" s="26" customFormat="1">
      <c r="B59" s="20" t="s">
        <v>8</v>
      </c>
      <c r="C59" s="21"/>
      <c r="D59" s="21"/>
      <c r="E59" s="22"/>
      <c r="F59" s="22"/>
      <c r="G59" s="22"/>
      <c r="H59" s="39"/>
      <c r="I59" s="54"/>
      <c r="J59" s="27">
        <f>SUM(J57:J58)</f>
        <v>154646682.48134482</v>
      </c>
      <c r="K59" s="101"/>
      <c r="L59" s="54"/>
    </row>
    <row r="60" spans="1:13">
      <c r="B60" s="23" t="s">
        <v>81</v>
      </c>
      <c r="I60" s="54"/>
      <c r="J60" s="24">
        <v>250000000</v>
      </c>
      <c r="K60" s="102"/>
      <c r="L60" s="54"/>
    </row>
    <row r="61" spans="1:13">
      <c r="B61" s="23" t="s">
        <v>96</v>
      </c>
      <c r="I61" s="54"/>
      <c r="J61" s="94">
        <f>J59/J60</f>
        <v>0.61858672992537933</v>
      </c>
      <c r="K61" s="95"/>
      <c r="L61" s="54"/>
    </row>
    <row r="62" spans="1:13">
      <c r="B62" s="23" t="s">
        <v>99</v>
      </c>
      <c r="C62" s="48"/>
      <c r="I62" s="54"/>
      <c r="J62" s="26"/>
      <c r="K62" s="26"/>
      <c r="L62" s="54"/>
    </row>
    <row r="63" spans="1:13">
      <c r="B63" s="23"/>
      <c r="C63" s="48"/>
      <c r="I63" s="54"/>
      <c r="J63" s="26"/>
      <c r="K63" s="26"/>
      <c r="L63" s="54"/>
    </row>
    <row r="64" spans="1:13">
      <c r="B64" s="51" t="s">
        <v>110</v>
      </c>
      <c r="C64" s="51"/>
      <c r="D64" s="51"/>
      <c r="E64" s="51"/>
      <c r="F64" s="51"/>
      <c r="G64" s="51"/>
      <c r="H64" s="34"/>
      <c r="I64" s="54"/>
      <c r="J64" s="26"/>
      <c r="K64" s="26"/>
      <c r="L64" s="18">
        <f>L39+L12+L30+L6+L9+L43+L50+L15</f>
        <v>154311417</v>
      </c>
      <c r="M64" s="87">
        <f>L64*0.5</f>
        <v>77155708.5</v>
      </c>
    </row>
    <row r="65" spans="2:12">
      <c r="C65" s="26"/>
      <c r="D65" s="26"/>
      <c r="E65" s="26"/>
      <c r="F65" s="26"/>
      <c r="G65" s="25"/>
      <c r="H65" s="34"/>
      <c r="I65" s="57"/>
      <c r="J65" s="26"/>
      <c r="K65" s="26"/>
      <c r="L65" s="54"/>
    </row>
    <row r="66" spans="2:12" s="52" customFormat="1" ht="18">
      <c r="B66" s="67" t="s">
        <v>16</v>
      </c>
      <c r="C66" s="68"/>
      <c r="D66" s="43"/>
      <c r="E66" s="44"/>
      <c r="F66" s="43"/>
      <c r="G66" s="69" t="s">
        <v>17</v>
      </c>
      <c r="H66" s="70" t="s">
        <v>18</v>
      </c>
      <c r="I66" s="70"/>
      <c r="J66" s="68"/>
      <c r="K66" s="68"/>
      <c r="L66" s="54"/>
    </row>
    <row r="67" spans="2:12" s="62" customFormat="1" ht="18">
      <c r="B67" s="59" t="s">
        <v>106</v>
      </c>
      <c r="C67" s="59"/>
      <c r="D67" s="59"/>
      <c r="E67" s="59"/>
      <c r="F67" s="60"/>
      <c r="G67" s="108">
        <f>J67/J60</f>
        <v>0.53206938394030345</v>
      </c>
      <c r="H67" s="106">
        <f>G67/3.5</f>
        <v>0.15201982398294384</v>
      </c>
      <c r="I67" s="70"/>
      <c r="J67" s="105">
        <f>J59*0.8+9300000</f>
        <v>133017345.98507586</v>
      </c>
      <c r="K67" s="61"/>
      <c r="L67" s="54"/>
    </row>
    <row r="68" spans="2:12" ht="15.75">
      <c r="B68" s="59"/>
      <c r="C68" s="59"/>
      <c r="D68" s="59"/>
      <c r="E68" s="59"/>
      <c r="F68" s="60"/>
      <c r="G68" s="60"/>
      <c r="H68" s="60"/>
      <c r="I68" s="70"/>
      <c r="J68" s="61"/>
      <c r="K68" s="61"/>
      <c r="L68" s="54"/>
    </row>
    <row r="69" spans="2:12" ht="15.75">
      <c r="B69" s="42" t="s">
        <v>102</v>
      </c>
      <c r="C69" s="42"/>
      <c r="D69" s="42"/>
      <c r="E69" s="42"/>
      <c r="F69" s="58"/>
      <c r="G69" s="109"/>
      <c r="H69" s="110"/>
      <c r="I69" s="70"/>
      <c r="J69" s="45">
        <v>3800000</v>
      </c>
      <c r="K69" s="45"/>
      <c r="L69" s="54"/>
    </row>
    <row r="70" spans="2:12" ht="15.75">
      <c r="B70" s="42" t="s">
        <v>103</v>
      </c>
      <c r="C70" s="42"/>
      <c r="D70" s="42"/>
      <c r="E70" s="42"/>
      <c r="F70" s="42"/>
      <c r="G70" s="111"/>
      <c r="H70" s="112"/>
      <c r="I70" s="70"/>
      <c r="J70" s="46">
        <f>500000*25</f>
        <v>12500000</v>
      </c>
      <c r="K70" s="46"/>
      <c r="L70" s="54"/>
    </row>
    <row r="71" spans="2:12" s="66" customFormat="1" ht="18">
      <c r="B71" s="63" t="s">
        <v>9</v>
      </c>
      <c r="C71" s="64"/>
      <c r="D71" s="64"/>
      <c r="E71" s="64"/>
      <c r="F71" s="64"/>
      <c r="G71" s="113">
        <f>J71/J60</f>
        <v>0.59726938394030349</v>
      </c>
      <c r="H71" s="114">
        <f>G71/3.5</f>
        <v>0.17064839541151527</v>
      </c>
      <c r="I71" s="70"/>
      <c r="J71" s="65">
        <f>SUM(J67:J70)</f>
        <v>149317345.98507586</v>
      </c>
      <c r="K71" s="103"/>
      <c r="L71" s="54"/>
    </row>
    <row r="72" spans="2:12">
      <c r="I72" s="50"/>
      <c r="J72" s="50"/>
      <c r="K72" s="50"/>
      <c r="L72" s="54"/>
    </row>
    <row r="73" spans="2:12" s="49" customFormat="1">
      <c r="B73"/>
      <c r="C73"/>
      <c r="D73"/>
      <c r="E73"/>
      <c r="F73"/>
      <c r="G73" s="1"/>
      <c r="H73" s="35"/>
      <c r="I73" s="50"/>
      <c r="J73" s="50"/>
      <c r="K73" s="50"/>
      <c r="L73" s="50"/>
    </row>
    <row r="74" spans="2:12" s="49" customFormat="1">
      <c r="B74"/>
      <c r="C74"/>
      <c r="D74"/>
      <c r="E74"/>
      <c r="F74"/>
      <c r="G74" s="1"/>
      <c r="H74" s="35"/>
      <c r="I74" s="50"/>
      <c r="J74" s="50"/>
      <c r="K74" s="50"/>
      <c r="L74" s="50"/>
    </row>
    <row r="75" spans="2:12" s="49" customFormat="1">
      <c r="B75"/>
      <c r="C75"/>
      <c r="D75"/>
      <c r="E75"/>
      <c r="F75"/>
      <c r="G75" s="1"/>
      <c r="H75" s="35"/>
      <c r="I75" s="50"/>
      <c r="J75" s="50"/>
      <c r="K75" s="50"/>
      <c r="L75" s="50"/>
    </row>
    <row r="76" spans="2:12" s="49" customFormat="1">
      <c r="B76"/>
      <c r="C76"/>
      <c r="D76"/>
      <c r="E76"/>
      <c r="F76"/>
      <c r="G76" s="1"/>
      <c r="H76" s="35"/>
      <c r="I76" s="50"/>
      <c r="J76" s="50"/>
      <c r="K76" s="50"/>
      <c r="L76" s="50"/>
    </row>
    <row r="77" spans="2:12" s="49" customFormat="1">
      <c r="B77"/>
      <c r="C77"/>
      <c r="D77"/>
      <c r="E77"/>
      <c r="F77"/>
      <c r="G77" s="1"/>
      <c r="H77" s="35"/>
      <c r="I77" s="50"/>
      <c r="J77" s="50"/>
      <c r="K77" s="50"/>
      <c r="L77" s="50"/>
    </row>
    <row r="78" spans="2:12" s="49" customFormat="1">
      <c r="B78"/>
      <c r="C78"/>
      <c r="D78"/>
      <c r="E78"/>
      <c r="F78"/>
      <c r="G78" s="1"/>
      <c r="H78" s="35"/>
      <c r="I78" s="50"/>
      <c r="J78" s="50"/>
      <c r="K78" s="50"/>
      <c r="L78" s="50"/>
    </row>
    <row r="79" spans="2:12" s="49" customFormat="1">
      <c r="B79"/>
      <c r="C79"/>
      <c r="D79"/>
      <c r="E79"/>
      <c r="F79"/>
      <c r="G79" s="1"/>
      <c r="H79" s="35"/>
      <c r="I79" s="50"/>
      <c r="J79" s="50"/>
      <c r="K79" s="50"/>
      <c r="L79" s="50"/>
    </row>
    <row r="80" spans="2:12">
      <c r="I80" s="50"/>
      <c r="J80" s="50"/>
      <c r="K80" s="50"/>
      <c r="L80" s="50"/>
    </row>
    <row r="81" spans="9:12">
      <c r="I81" s="50"/>
      <c r="J81" s="50"/>
      <c r="K81" s="50"/>
      <c r="L81" s="50"/>
    </row>
  </sheetData>
  <phoneticPr fontId="21" type="noConversion"/>
  <pageMargins left="0.23622047244094491" right="0.23622047244094491" top="0.35433070866141736" bottom="0.19685039370078741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62"/>
  <sheetViews>
    <sheetView workbookViewId="0">
      <selection activeCell="E59" sqref="E59:E60"/>
    </sheetView>
  </sheetViews>
  <sheetFormatPr defaultColWidth="10.6640625" defaultRowHeight="14.25"/>
  <cols>
    <col min="1" max="1" width="27.73046875" bestFit="1" customWidth="1"/>
    <col min="2" max="2" width="13.06640625" customWidth="1"/>
    <col min="7" max="7" width="2.53125" customWidth="1"/>
  </cols>
  <sheetData>
    <row r="2" spans="1:8">
      <c r="A2" s="71" t="s">
        <v>24</v>
      </c>
      <c r="B2" s="73"/>
      <c r="C2" s="74"/>
      <c r="D2" s="74"/>
      <c r="E2" s="75"/>
      <c r="F2" s="75"/>
      <c r="G2" s="75"/>
      <c r="H2" s="74"/>
    </row>
    <row r="3" spans="1:8">
      <c r="A3" s="85" t="s">
        <v>55</v>
      </c>
      <c r="B3" s="76"/>
      <c r="C3" s="74"/>
      <c r="D3" s="74"/>
      <c r="E3" s="75"/>
      <c r="F3" s="75"/>
      <c r="G3" s="75"/>
      <c r="H3" s="74"/>
    </row>
    <row r="4" spans="1:8">
      <c r="A4" s="74" t="s">
        <v>25</v>
      </c>
      <c r="B4" s="77"/>
      <c r="C4" s="74"/>
      <c r="D4" s="74"/>
      <c r="E4" s="75"/>
      <c r="F4" s="75"/>
      <c r="G4" s="75"/>
      <c r="H4" s="74"/>
    </row>
    <row r="5" spans="1:8">
      <c r="A5" s="74" t="s">
        <v>26</v>
      </c>
      <c r="B5" s="77"/>
      <c r="C5" s="74"/>
      <c r="D5" s="74"/>
      <c r="E5" s="75"/>
      <c r="F5" s="75"/>
      <c r="G5" s="75"/>
      <c r="H5" s="74"/>
    </row>
    <row r="6" spans="1:8">
      <c r="A6" s="74" t="s">
        <v>27</v>
      </c>
      <c r="B6" s="77"/>
      <c r="C6" s="71"/>
      <c r="D6" s="71"/>
      <c r="E6" s="78"/>
      <c r="F6" s="78"/>
      <c r="G6" s="78"/>
      <c r="H6" s="74"/>
    </row>
    <row r="7" spans="1:8">
      <c r="A7" s="74" t="s">
        <v>28</v>
      </c>
      <c r="B7" s="77"/>
      <c r="C7" s="74"/>
      <c r="D7" s="74"/>
      <c r="E7" s="75"/>
      <c r="F7" s="75"/>
      <c r="G7" s="75"/>
      <c r="H7" s="71"/>
    </row>
    <row r="8" spans="1:8">
      <c r="A8" s="74" t="s">
        <v>29</v>
      </c>
      <c r="B8" s="77"/>
      <c r="C8" s="74"/>
      <c r="D8" s="74"/>
      <c r="E8" s="75"/>
      <c r="F8" s="75"/>
      <c r="G8" s="75"/>
      <c r="H8" s="74"/>
    </row>
    <row r="9" spans="1:8">
      <c r="A9" s="74" t="s">
        <v>30</v>
      </c>
      <c r="B9" s="77"/>
      <c r="C9" s="74"/>
      <c r="D9" s="74"/>
      <c r="E9" s="75"/>
      <c r="F9" s="75"/>
      <c r="G9" s="75"/>
      <c r="H9" s="74"/>
    </row>
    <row r="10" spans="1:8">
      <c r="A10" s="71" t="s">
        <v>31</v>
      </c>
      <c r="B10" s="79">
        <f>SUM(B4:B9)</f>
        <v>0</v>
      </c>
      <c r="C10" s="71"/>
      <c r="D10" s="71"/>
      <c r="E10" s="78"/>
      <c r="F10" s="78"/>
      <c r="G10" s="78"/>
      <c r="H10" s="74"/>
    </row>
    <row r="11" spans="1:8">
      <c r="A11" s="74"/>
      <c r="B11" s="74"/>
      <c r="C11" s="74"/>
      <c r="D11" s="74"/>
      <c r="E11" s="75"/>
      <c r="F11" s="75"/>
      <c r="G11" s="75"/>
      <c r="H11" s="71"/>
    </row>
    <row r="12" spans="1:8">
      <c r="A12" s="71" t="s">
        <v>32</v>
      </c>
      <c r="B12" s="72" t="s">
        <v>33</v>
      </c>
      <c r="C12" s="71"/>
      <c r="D12" s="71"/>
      <c r="E12" s="78"/>
      <c r="F12" s="78"/>
      <c r="G12" s="78"/>
      <c r="H12" s="74"/>
    </row>
    <row r="13" spans="1:8">
      <c r="A13" s="71"/>
      <c r="B13" s="72"/>
      <c r="C13" s="71"/>
      <c r="D13" s="71"/>
      <c r="E13" s="78"/>
      <c r="F13" s="78"/>
      <c r="G13" s="78"/>
      <c r="H13" s="71"/>
    </row>
    <row r="14" spans="1:8">
      <c r="A14" s="80" t="s">
        <v>34</v>
      </c>
      <c r="B14" s="77"/>
      <c r="C14" s="71"/>
      <c r="D14" s="71"/>
      <c r="E14" s="78"/>
      <c r="F14" s="78"/>
      <c r="G14" s="78"/>
      <c r="H14" s="71"/>
    </row>
    <row r="15" spans="1:8">
      <c r="A15" s="80" t="s">
        <v>35</v>
      </c>
      <c r="B15" s="77"/>
      <c r="C15" s="71"/>
      <c r="D15" s="71"/>
      <c r="E15" s="78"/>
      <c r="F15" s="78"/>
      <c r="G15" s="78"/>
      <c r="H15" s="71"/>
    </row>
    <row r="16" spans="1:8">
      <c r="A16" s="74" t="s">
        <v>36</v>
      </c>
      <c r="B16" s="77"/>
      <c r="C16" s="71"/>
      <c r="D16" s="71"/>
      <c r="E16" s="78"/>
      <c r="F16" s="78"/>
      <c r="G16" s="78"/>
      <c r="H16" s="71"/>
    </row>
    <row r="17" spans="1:8">
      <c r="A17" s="80" t="s">
        <v>37</v>
      </c>
      <c r="B17" s="77"/>
      <c r="C17" s="71"/>
      <c r="D17" s="71"/>
      <c r="E17" s="78"/>
      <c r="F17" s="78"/>
      <c r="G17" s="78"/>
      <c r="H17" s="71"/>
    </row>
    <row r="18" spans="1:8">
      <c r="A18" s="74" t="s">
        <v>38</v>
      </c>
      <c r="B18" s="77"/>
      <c r="C18" s="71"/>
      <c r="D18" s="71"/>
      <c r="E18" s="78"/>
      <c r="F18" s="78"/>
      <c r="G18" s="78"/>
      <c r="H18" s="71"/>
    </row>
    <row r="19" spans="1:8">
      <c r="A19" s="74" t="s">
        <v>39</v>
      </c>
      <c r="B19" s="77"/>
      <c r="C19" s="74"/>
      <c r="D19" s="74"/>
      <c r="E19" s="75"/>
      <c r="F19" s="75"/>
      <c r="G19" s="75"/>
      <c r="H19" s="71"/>
    </row>
    <row r="20" spans="1:8">
      <c r="A20" s="74" t="s">
        <v>40</v>
      </c>
      <c r="B20" s="77"/>
      <c r="C20" s="74"/>
      <c r="D20" s="74"/>
      <c r="E20" s="75"/>
      <c r="F20" s="75"/>
      <c r="G20" s="75"/>
      <c r="H20" s="74"/>
    </row>
    <row r="21" spans="1:8">
      <c r="A21" s="74" t="s">
        <v>41</v>
      </c>
      <c r="B21" s="77"/>
      <c r="C21" s="74"/>
      <c r="D21" s="74"/>
      <c r="E21" s="75"/>
      <c r="F21" s="75"/>
      <c r="G21" s="75"/>
      <c r="H21" s="74"/>
    </row>
    <row r="22" spans="1:8">
      <c r="A22" s="71" t="s">
        <v>42</v>
      </c>
      <c r="B22" s="79">
        <f>SUM(B14:B21)</f>
        <v>0</v>
      </c>
      <c r="C22" s="79"/>
      <c r="D22" s="74"/>
      <c r="E22" s="75"/>
      <c r="F22" s="75"/>
      <c r="G22" s="75"/>
      <c r="H22" s="74"/>
    </row>
    <row r="23" spans="1:8" ht="15.75">
      <c r="A23" s="81" t="s">
        <v>43</v>
      </c>
      <c r="B23" s="82">
        <f>B22+B10</f>
        <v>0</v>
      </c>
      <c r="C23" s="81"/>
      <c r="D23" s="81"/>
      <c r="E23" s="83"/>
      <c r="F23" s="83"/>
      <c r="G23" s="83"/>
      <c r="H23" s="74"/>
    </row>
    <row r="24" spans="1:8" ht="15.75">
      <c r="A24" s="74"/>
      <c r="B24" s="77"/>
      <c r="C24" s="84"/>
      <c r="D24" s="74"/>
      <c r="E24" s="75"/>
      <c r="F24" s="75"/>
      <c r="G24" s="75"/>
      <c r="H24" s="81"/>
    </row>
    <row r="25" spans="1:8">
      <c r="A25" s="71" t="s">
        <v>44</v>
      </c>
      <c r="B25" s="72" t="s">
        <v>33</v>
      </c>
      <c r="C25" s="71"/>
      <c r="D25" s="71"/>
      <c r="E25" s="78"/>
      <c r="F25" s="78"/>
      <c r="G25" s="78"/>
      <c r="H25" s="74"/>
    </row>
    <row r="26" spans="1:8">
      <c r="A26" s="71"/>
      <c r="B26" s="72"/>
      <c r="C26" s="71"/>
      <c r="D26" s="71"/>
      <c r="E26" s="78"/>
      <c r="F26" s="78"/>
      <c r="G26" s="78"/>
      <c r="H26" s="71"/>
    </row>
    <row r="27" spans="1:8">
      <c r="A27" s="74" t="s">
        <v>45</v>
      </c>
      <c r="B27" s="77"/>
      <c r="C27" s="74"/>
      <c r="D27" s="74"/>
      <c r="E27" s="75"/>
      <c r="F27" s="75"/>
      <c r="G27" s="75"/>
      <c r="H27" s="71"/>
    </row>
    <row r="28" spans="1:8">
      <c r="A28" s="80" t="s">
        <v>46</v>
      </c>
      <c r="B28" s="77"/>
      <c r="C28" s="74"/>
      <c r="D28" s="74"/>
      <c r="E28" s="75"/>
      <c r="F28" s="75"/>
      <c r="G28" s="75"/>
      <c r="H28" s="74"/>
    </row>
    <row r="29" spans="1:8">
      <c r="A29" s="74" t="s">
        <v>47</v>
      </c>
      <c r="B29" s="77"/>
      <c r="C29" s="74"/>
      <c r="D29" s="74"/>
      <c r="E29" s="75"/>
      <c r="F29" s="75"/>
      <c r="G29" s="75"/>
      <c r="H29" s="74"/>
    </row>
    <row r="30" spans="1:8">
      <c r="A30" s="71" t="s">
        <v>48</v>
      </c>
      <c r="B30" s="79"/>
      <c r="C30" s="74"/>
      <c r="D30" s="74"/>
      <c r="E30" s="75"/>
      <c r="F30" s="75"/>
      <c r="G30" s="75"/>
      <c r="H30" s="74"/>
    </row>
    <row r="31" spans="1:8">
      <c r="A31" s="80"/>
      <c r="B31" s="77"/>
      <c r="C31" s="74"/>
      <c r="D31" s="74"/>
      <c r="E31" s="75"/>
      <c r="F31" s="75"/>
      <c r="G31" s="75"/>
      <c r="H31" s="74"/>
    </row>
    <row r="32" spans="1:8">
      <c r="A32" s="74" t="s">
        <v>49</v>
      </c>
      <c r="B32" s="77"/>
      <c r="C32" s="74"/>
      <c r="D32" s="74"/>
      <c r="E32" s="75"/>
      <c r="F32" s="75"/>
      <c r="G32" s="75"/>
      <c r="H32" s="74"/>
    </row>
    <row r="33" spans="1:8" ht="15.75">
      <c r="A33" s="81" t="s">
        <v>50</v>
      </c>
      <c r="B33" s="82"/>
      <c r="C33" s="81"/>
      <c r="D33" s="81"/>
      <c r="E33" s="83"/>
      <c r="F33" s="83"/>
      <c r="G33" s="83"/>
      <c r="H33" s="81"/>
    </row>
    <row r="34" spans="1:8">
      <c r="A34" s="74" t="s">
        <v>51</v>
      </c>
      <c r="B34" s="77"/>
      <c r="C34" s="74"/>
      <c r="D34" s="74"/>
      <c r="E34" s="75"/>
      <c r="F34" s="75"/>
      <c r="G34" s="75"/>
      <c r="H34" s="74"/>
    </row>
    <row r="35" spans="1:8">
      <c r="A35" s="71" t="s">
        <v>52</v>
      </c>
      <c r="B35" s="79">
        <f>B32+B34</f>
        <v>0</v>
      </c>
      <c r="C35" s="71"/>
      <c r="D35" s="71"/>
      <c r="E35" s="78"/>
      <c r="F35" s="78"/>
      <c r="G35" s="78"/>
      <c r="H35" s="71"/>
    </row>
    <row r="36" spans="1:8">
      <c r="A36" s="74"/>
      <c r="B36" s="74"/>
      <c r="C36" s="74"/>
      <c r="D36" s="74"/>
      <c r="E36" s="75"/>
      <c r="F36" s="75"/>
      <c r="G36" s="75"/>
      <c r="H36" s="74"/>
    </row>
    <row r="37" spans="1:8">
      <c r="A37" s="71" t="s">
        <v>53</v>
      </c>
      <c r="B37" s="72" t="s">
        <v>33</v>
      </c>
      <c r="C37" s="71"/>
      <c r="D37" s="74"/>
      <c r="E37" s="75"/>
      <c r="F37" s="75"/>
      <c r="G37" s="75"/>
      <c r="H37" s="74"/>
    </row>
    <row r="38" spans="1:8">
      <c r="A38" s="71"/>
      <c r="B38" s="72"/>
      <c r="C38" s="71"/>
      <c r="D38" s="74"/>
      <c r="E38" s="75"/>
      <c r="F38" s="75"/>
      <c r="G38" s="75"/>
      <c r="H38" s="74"/>
    </row>
    <row r="39" spans="1:8">
      <c r="A39" s="80" t="s">
        <v>34</v>
      </c>
      <c r="B39" s="77"/>
      <c r="C39" s="71"/>
      <c r="D39" s="74"/>
      <c r="E39" s="75"/>
      <c r="F39" s="75"/>
      <c r="G39" s="75"/>
      <c r="H39" s="74"/>
    </row>
    <row r="40" spans="1:8">
      <c r="A40" s="80" t="s">
        <v>35</v>
      </c>
      <c r="B40" s="77"/>
      <c r="C40" s="71"/>
      <c r="D40" s="74"/>
      <c r="E40" s="74"/>
      <c r="F40" s="74"/>
      <c r="G40" s="74"/>
      <c r="H40" s="74"/>
    </row>
    <row r="41" spans="1:8">
      <c r="A41" s="74" t="s">
        <v>36</v>
      </c>
      <c r="B41" s="77"/>
      <c r="C41" s="71"/>
      <c r="D41" s="74"/>
      <c r="E41" s="74"/>
      <c r="F41" s="74"/>
      <c r="G41" s="74"/>
      <c r="H41" s="74"/>
    </row>
    <row r="42" spans="1:8">
      <c r="A42" s="80" t="s">
        <v>37</v>
      </c>
      <c r="B42" s="77"/>
      <c r="C42" s="71"/>
      <c r="D42" s="74"/>
      <c r="E42" s="74"/>
      <c r="F42" s="74"/>
      <c r="G42" s="74"/>
      <c r="H42" s="74"/>
    </row>
    <row r="43" spans="1:8">
      <c r="A43" s="74" t="s">
        <v>38</v>
      </c>
      <c r="B43" s="77"/>
      <c r="C43" s="71"/>
      <c r="D43" s="74"/>
      <c r="E43" s="74"/>
      <c r="F43" s="74"/>
      <c r="G43" s="74"/>
      <c r="H43" s="74"/>
    </row>
    <row r="44" spans="1:8">
      <c r="A44" s="74" t="s">
        <v>39</v>
      </c>
      <c r="B44" s="77"/>
      <c r="C44" s="74"/>
      <c r="D44" s="74"/>
      <c r="E44" s="75"/>
      <c r="F44" s="75"/>
      <c r="G44" s="75"/>
      <c r="H44" s="74"/>
    </row>
    <row r="45" spans="1:8">
      <c r="A45" s="74" t="s">
        <v>40</v>
      </c>
      <c r="B45" s="77"/>
      <c r="C45" s="74"/>
      <c r="D45" s="74"/>
      <c r="E45" s="74"/>
      <c r="F45" s="74"/>
      <c r="G45" s="74"/>
      <c r="H45" s="74"/>
    </row>
    <row r="46" spans="1:8">
      <c r="A46" s="74" t="s">
        <v>41</v>
      </c>
      <c r="B46" s="77"/>
      <c r="C46" s="74"/>
      <c r="D46" s="74"/>
      <c r="E46" s="74"/>
      <c r="F46" s="74"/>
      <c r="G46" s="74"/>
      <c r="H46" s="74"/>
    </row>
    <row r="47" spans="1:8">
      <c r="A47" s="71" t="s">
        <v>42</v>
      </c>
      <c r="B47" s="79">
        <f>SUM(B39:B46)</f>
        <v>0</v>
      </c>
      <c r="C47" s="79"/>
      <c r="D47" s="74"/>
      <c r="E47" s="74"/>
      <c r="F47" s="74"/>
      <c r="G47" s="74"/>
      <c r="H47" s="74"/>
    </row>
    <row r="48" spans="1:8">
      <c r="A48" s="71"/>
      <c r="B48" s="79"/>
      <c r="C48" s="79"/>
      <c r="D48" s="74"/>
      <c r="E48" s="74"/>
      <c r="F48" s="74"/>
      <c r="G48" s="74"/>
      <c r="H48" s="74"/>
    </row>
    <row r="49" spans="1:8" ht="15.75">
      <c r="A49" s="81" t="s">
        <v>43</v>
      </c>
      <c r="B49" s="82">
        <f>B47+B10</f>
        <v>0</v>
      </c>
      <c r="C49" s="82"/>
      <c r="D49" s="74"/>
      <c r="E49" s="74"/>
      <c r="F49" s="74"/>
      <c r="G49" s="74"/>
      <c r="H49" s="74"/>
    </row>
    <row r="50" spans="1:8">
      <c r="A50" s="74"/>
      <c r="B50" s="74"/>
      <c r="C50" s="74"/>
      <c r="D50" s="74"/>
      <c r="E50" s="74"/>
      <c r="F50" s="74"/>
      <c r="G50" s="74"/>
      <c r="H50" s="74"/>
    </row>
    <row r="51" spans="1:8">
      <c r="A51" s="71" t="s">
        <v>54</v>
      </c>
      <c r="B51" s="72" t="s">
        <v>33</v>
      </c>
      <c r="C51" s="71"/>
      <c r="D51" s="74"/>
      <c r="E51" s="75"/>
      <c r="F51" s="75"/>
      <c r="G51" s="75"/>
      <c r="H51" s="74"/>
    </row>
    <row r="52" spans="1:8">
      <c r="A52" s="71"/>
      <c r="B52" s="72"/>
      <c r="C52" s="71"/>
      <c r="D52" s="74"/>
      <c r="E52" s="75"/>
      <c r="F52" s="75"/>
      <c r="G52" s="75"/>
      <c r="H52" s="74"/>
    </row>
    <row r="53" spans="1:8">
      <c r="A53" s="74" t="s">
        <v>45</v>
      </c>
      <c r="B53" s="77"/>
      <c r="C53" s="74"/>
      <c r="D53" s="74"/>
      <c r="E53" s="75"/>
      <c r="F53" s="75"/>
      <c r="G53" s="75"/>
      <c r="H53" s="74"/>
    </row>
    <row r="54" spans="1:8">
      <c r="A54" s="80" t="s">
        <v>59</v>
      </c>
      <c r="B54" s="77"/>
      <c r="C54" s="74"/>
      <c r="D54" s="74"/>
      <c r="E54" s="75"/>
      <c r="F54" s="75"/>
      <c r="G54" s="75"/>
      <c r="H54" s="74"/>
    </row>
    <row r="55" spans="1:8">
      <c r="A55" s="74" t="s">
        <v>47</v>
      </c>
      <c r="B55" s="77"/>
      <c r="C55" s="74"/>
      <c r="D55" s="74"/>
      <c r="E55" s="75"/>
      <c r="F55" s="75"/>
      <c r="G55" s="75"/>
      <c r="H55" s="74"/>
    </row>
    <row r="56" spans="1:8">
      <c r="A56" s="71" t="s">
        <v>48</v>
      </c>
      <c r="B56" s="79">
        <f>SUM(B53:B55)</f>
        <v>0</v>
      </c>
      <c r="C56" s="74"/>
      <c r="D56" s="74"/>
      <c r="E56" s="75"/>
      <c r="F56" s="75"/>
      <c r="G56" s="75"/>
      <c r="H56" s="74"/>
    </row>
    <row r="57" spans="1:8">
      <c r="A57" s="71"/>
      <c r="B57" s="79"/>
      <c r="C57" s="74"/>
      <c r="D57" s="74"/>
      <c r="E57" s="75"/>
      <c r="F57" s="75"/>
      <c r="G57" s="75"/>
      <c r="H57" s="74"/>
    </row>
    <row r="58" spans="1:8">
      <c r="A58" s="74" t="s">
        <v>49</v>
      </c>
      <c r="B58" s="77">
        <f>B56*0.01</f>
        <v>0</v>
      </c>
      <c r="C58" s="74"/>
      <c r="D58" s="74"/>
      <c r="E58" s="75"/>
      <c r="F58" s="75"/>
      <c r="G58" s="75"/>
      <c r="H58" s="74"/>
    </row>
    <row r="59" spans="1:8" ht="15.75">
      <c r="A59" s="81" t="s">
        <v>50</v>
      </c>
      <c r="B59" s="82">
        <f>B56-B49-B58</f>
        <v>0</v>
      </c>
      <c r="C59" s="81"/>
      <c r="D59" s="74"/>
      <c r="E59" s="75"/>
      <c r="F59" s="75"/>
      <c r="G59" s="75"/>
      <c r="H59" s="74"/>
    </row>
    <row r="60" spans="1:8">
      <c r="A60" s="74" t="s">
        <v>51</v>
      </c>
      <c r="B60" s="77">
        <f>B59*0.1</f>
        <v>0</v>
      </c>
      <c r="C60" s="74"/>
      <c r="D60" s="74"/>
      <c r="E60" s="75"/>
      <c r="F60" s="75"/>
      <c r="G60" s="75"/>
      <c r="H60" s="74"/>
    </row>
    <row r="61" spans="1:8">
      <c r="A61" s="71" t="s">
        <v>52</v>
      </c>
      <c r="B61" s="79">
        <f>B58+B60</f>
        <v>0</v>
      </c>
      <c r="C61" s="71"/>
      <c r="D61" s="74"/>
      <c r="E61" s="75"/>
      <c r="F61" s="75"/>
      <c r="G61" s="75"/>
      <c r="H61" s="74"/>
    </row>
    <row r="62" spans="1:8">
      <c r="A62" s="74"/>
      <c r="B62" s="74"/>
      <c r="C62" s="74"/>
      <c r="D62" s="74"/>
      <c r="E62" s="75"/>
      <c r="F62" s="75"/>
      <c r="G62" s="75"/>
      <c r="H62" s="74"/>
    </row>
  </sheetData>
  <pageMargins left="0.70866141732283472" right="0.51181102362204722" top="0.78740157480314965" bottom="0.78740157480314965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Figures for Investing Partner</vt:lpstr>
      <vt:lpstr>Figures for Investor</vt:lpstr>
      <vt:lpstr>Op. Budget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cp:lastPrinted>2023-10-22T17:27:20Z</cp:lastPrinted>
  <dcterms:created xsi:type="dcterms:W3CDTF">2020-11-05T16:12:57Z</dcterms:created>
  <dcterms:modified xsi:type="dcterms:W3CDTF">2023-11-04T09:14:59Z</dcterms:modified>
</cp:coreProperties>
</file>